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saftgroup-my.sharepoint.com/personal/vitaly-m_tadiran-batt_com/Documents/Desktop/"/>
    </mc:Choice>
  </mc:AlternateContent>
  <xr:revisionPtr revIDLastSave="4952" documentId="13_ncr:1_{31C832F8-3640-41D0-8660-4AB4ED745216}" xr6:coauthVersionLast="47" xr6:coauthVersionMax="47" xr10:uidLastSave="{66572310-CCBE-40F0-828B-FAFFBFCDAB3A}"/>
  <bookViews>
    <workbookView xWindow="-108" yWindow="-108" windowWidth="23256" windowHeight="12456" xr2:uid="{00000000-000D-0000-FFFF-FFFF00000000}"/>
  </bookViews>
  <sheets>
    <sheet name="AQ" sheetId="1" r:id="rId1"/>
    <sheet name="CRM" sheetId="9" state="hidden" r:id="rId2"/>
    <sheet name="Life profile" sheetId="8" r:id="rId3"/>
    <sheet name="Tabbing" sheetId="5" r:id="rId4"/>
    <sheet name="DB" sheetId="4" state="hidden" r:id="rId5"/>
  </sheets>
  <definedNames>
    <definedName name="_xlnm.Print_Area" localSheetId="0">AQ!$A$1:$P$141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9" l="1"/>
  <c r="C5" i="9"/>
  <c r="C22" i="9" l="1"/>
  <c r="C21" i="9"/>
  <c r="C23" i="9"/>
  <c r="C17" i="9"/>
  <c r="C16" i="9"/>
  <c r="C12" i="9"/>
  <c r="C11" i="9"/>
  <c r="I12" i="9"/>
  <c r="I10" i="9"/>
  <c r="I9" i="9"/>
  <c r="I8" i="9"/>
  <c r="I7" i="9"/>
  <c r="I6" i="9"/>
  <c r="I5" i="9"/>
  <c r="I4" i="9"/>
  <c r="I3" i="9"/>
  <c r="C18" i="9"/>
  <c r="E7" i="9" s="1"/>
  <c r="C24" i="9"/>
  <c r="D9" i="9"/>
  <c r="D8" i="9"/>
  <c r="C10" i="9"/>
  <c r="D6" i="9"/>
  <c r="C7" i="9"/>
  <c r="C13" i="9" l="1"/>
  <c r="F19" i="9" l="1"/>
  <c r="C4" i="9" l="1"/>
  <c r="C3" i="9"/>
  <c r="A24" i="4" l="1"/>
  <c r="A23" i="4"/>
  <c r="A22" i="4"/>
  <c r="A21" i="4"/>
  <c r="A20" i="4"/>
  <c r="A19" i="4"/>
  <c r="A18" i="4"/>
  <c r="A17" i="4"/>
  <c r="A16" i="4"/>
  <c r="A15" i="4"/>
  <c r="A14" i="4"/>
  <c r="B59" i="1"/>
  <c r="O75" i="1"/>
  <c r="O81" i="1"/>
  <c r="O77" i="1" a="1"/>
  <c r="O77" i="1" s="1"/>
  <c r="O78" i="1" a="1"/>
  <c r="O78" i="1" s="1"/>
  <c r="O79" i="1" a="1"/>
  <c r="O79" i="1" s="1"/>
  <c r="O80" i="1" a="1"/>
  <c r="O80" i="1" s="1"/>
  <c r="O76" i="1" a="1"/>
  <c r="O76" i="1" s="1"/>
  <c r="L75" i="1"/>
  <c r="L81" i="1"/>
  <c r="L77" i="1" a="1"/>
  <c r="L77" i="1" s="1"/>
  <c r="L78" i="1" a="1"/>
  <c r="L78" i="1" s="1"/>
  <c r="L79" i="1" a="1"/>
  <c r="L79" i="1" s="1"/>
  <c r="L80" i="1" a="1"/>
  <c r="L80" i="1" s="1"/>
  <c r="L76" i="1" a="1"/>
  <c r="L76" i="1" s="1"/>
  <c r="P5" i="1"/>
  <c r="Q14" i="1"/>
  <c r="C20" i="9" s="1"/>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13" i="4"/>
  <c r="A12" i="4"/>
  <c r="A11" i="4"/>
  <c r="A10" i="4"/>
  <c r="A9" i="4"/>
  <c r="A8" i="4"/>
  <c r="A7" i="4"/>
  <c r="A6" i="4"/>
  <c r="A5" i="4"/>
  <c r="A4" i="4"/>
  <c r="A3" i="4"/>
  <c r="AE49" i="4"/>
  <c r="AD49" i="4"/>
  <c r="AC49" i="4"/>
  <c r="AB49" i="4"/>
  <c r="AA49" i="4"/>
  <c r="Z49" i="4"/>
  <c r="Y49" i="4"/>
  <c r="X49" i="4"/>
  <c r="W49" i="4"/>
  <c r="V49" i="4"/>
  <c r="U49" i="4"/>
  <c r="T49" i="4"/>
  <c r="S49" i="4"/>
  <c r="R49" i="4"/>
  <c r="Q49" i="4"/>
  <c r="P49" i="4"/>
  <c r="O49" i="4"/>
  <c r="N49" i="4"/>
  <c r="M49" i="4"/>
  <c r="L49" i="4"/>
  <c r="AE48" i="4"/>
  <c r="AD48" i="4"/>
  <c r="AC48" i="4"/>
  <c r="AB48" i="4"/>
  <c r="AA48" i="4"/>
  <c r="Z48" i="4"/>
  <c r="Y48" i="4"/>
  <c r="X48" i="4"/>
  <c r="W48" i="4"/>
  <c r="V48" i="4"/>
  <c r="U48" i="4"/>
  <c r="T48" i="4"/>
  <c r="S48" i="4"/>
  <c r="R48" i="4"/>
  <c r="Q48" i="4"/>
  <c r="P48" i="4"/>
  <c r="O48" i="4"/>
  <c r="N48" i="4"/>
  <c r="M48" i="4"/>
  <c r="L48" i="4"/>
  <c r="AE47" i="4"/>
  <c r="AD47" i="4"/>
  <c r="AC47" i="4"/>
  <c r="AB47" i="4"/>
  <c r="AA47" i="4"/>
  <c r="Z47" i="4"/>
  <c r="Y47" i="4"/>
  <c r="X47" i="4"/>
  <c r="W47" i="4"/>
  <c r="V47" i="4"/>
  <c r="U47" i="4"/>
  <c r="T47" i="4"/>
  <c r="S47" i="4"/>
  <c r="R47" i="4"/>
  <c r="Q47" i="4"/>
  <c r="P47" i="4"/>
  <c r="O47" i="4"/>
  <c r="N47" i="4"/>
  <c r="M47" i="4"/>
  <c r="L47" i="4"/>
  <c r="AE46" i="4"/>
  <c r="AD46" i="4"/>
  <c r="AC46" i="4"/>
  <c r="AB46" i="4"/>
  <c r="AA46" i="4"/>
  <c r="Z46" i="4"/>
  <c r="Y46" i="4"/>
  <c r="X46" i="4"/>
  <c r="W46" i="4"/>
  <c r="V46" i="4"/>
  <c r="U46" i="4"/>
  <c r="T46" i="4"/>
  <c r="S46" i="4"/>
  <c r="R46" i="4"/>
  <c r="Q46" i="4"/>
  <c r="P46" i="4"/>
  <c r="O46" i="4"/>
  <c r="N46" i="4"/>
  <c r="M46" i="4"/>
  <c r="L46" i="4"/>
  <c r="AE45" i="4"/>
  <c r="AD45" i="4"/>
  <c r="AC45" i="4"/>
  <c r="AB45" i="4"/>
  <c r="AA45" i="4"/>
  <c r="Z45" i="4"/>
  <c r="Y45" i="4"/>
  <c r="X45" i="4"/>
  <c r="W45" i="4"/>
  <c r="V45" i="4"/>
  <c r="U45" i="4"/>
  <c r="T45" i="4"/>
  <c r="S45" i="4"/>
  <c r="R45" i="4"/>
  <c r="Q45" i="4"/>
  <c r="P45" i="4"/>
  <c r="O45" i="4"/>
  <c r="N45" i="4"/>
  <c r="M45" i="4"/>
  <c r="L45" i="4"/>
  <c r="AE44" i="4"/>
  <c r="AD44" i="4"/>
  <c r="AC44" i="4"/>
  <c r="AB44" i="4"/>
  <c r="AA44" i="4"/>
  <c r="Z44" i="4"/>
  <c r="Y44" i="4"/>
  <c r="X44" i="4"/>
  <c r="W44" i="4"/>
  <c r="V44" i="4"/>
  <c r="U44" i="4"/>
  <c r="T44" i="4"/>
  <c r="S44" i="4"/>
  <c r="R44" i="4"/>
  <c r="Q44" i="4"/>
  <c r="P44" i="4"/>
  <c r="O44" i="4"/>
  <c r="N44" i="4"/>
  <c r="M44" i="4"/>
  <c r="L44" i="4"/>
  <c r="AE43" i="4"/>
  <c r="AD43" i="4"/>
  <c r="AC43" i="4"/>
  <c r="AB43" i="4"/>
  <c r="AA43" i="4"/>
  <c r="Z43" i="4"/>
  <c r="Y43" i="4"/>
  <c r="X43" i="4"/>
  <c r="W43" i="4"/>
  <c r="V43" i="4"/>
  <c r="U43" i="4"/>
  <c r="T43" i="4"/>
  <c r="S43" i="4"/>
  <c r="R43" i="4"/>
  <c r="Q43" i="4"/>
  <c r="P43" i="4"/>
  <c r="O43" i="4"/>
  <c r="N43" i="4"/>
  <c r="M43" i="4"/>
  <c r="L43" i="4"/>
  <c r="AE42" i="4"/>
  <c r="AD42" i="4"/>
  <c r="AC42" i="4"/>
  <c r="AB42" i="4"/>
  <c r="AA42" i="4"/>
  <c r="Z42" i="4"/>
  <c r="Y42" i="4"/>
  <c r="X42" i="4"/>
  <c r="W42" i="4"/>
  <c r="V42" i="4"/>
  <c r="U42" i="4"/>
  <c r="T42" i="4"/>
  <c r="S42" i="4"/>
  <c r="R42" i="4"/>
  <c r="Q42" i="4"/>
  <c r="P42" i="4"/>
  <c r="O42" i="4"/>
  <c r="N42" i="4"/>
  <c r="M42" i="4"/>
  <c r="L42" i="4"/>
  <c r="AE41" i="4"/>
  <c r="AD41" i="4"/>
  <c r="AC41" i="4"/>
  <c r="AB41" i="4"/>
  <c r="AA41" i="4"/>
  <c r="Z41" i="4"/>
  <c r="Y41" i="4"/>
  <c r="X41" i="4"/>
  <c r="W41" i="4"/>
  <c r="V41" i="4"/>
  <c r="U41" i="4"/>
  <c r="T41" i="4"/>
  <c r="S41" i="4"/>
  <c r="R41" i="4"/>
  <c r="Q41" i="4"/>
  <c r="P41" i="4"/>
  <c r="O41" i="4"/>
  <c r="N41" i="4"/>
  <c r="M41" i="4"/>
  <c r="L41" i="4"/>
  <c r="AE40" i="4"/>
  <c r="AD40" i="4"/>
  <c r="AC40" i="4"/>
  <c r="AB40" i="4"/>
  <c r="AA40" i="4"/>
  <c r="Z40" i="4"/>
  <c r="Y40" i="4"/>
  <c r="X40" i="4"/>
  <c r="W40" i="4"/>
  <c r="V40" i="4"/>
  <c r="U40" i="4"/>
  <c r="T40" i="4"/>
  <c r="S40" i="4"/>
  <c r="R40" i="4"/>
  <c r="Q40" i="4"/>
  <c r="P40" i="4"/>
  <c r="O40" i="4"/>
  <c r="N40" i="4"/>
  <c r="M40" i="4"/>
  <c r="L40" i="4"/>
  <c r="AE39" i="4"/>
  <c r="AD39" i="4"/>
  <c r="AC39" i="4"/>
  <c r="AB39" i="4"/>
  <c r="AA39" i="4"/>
  <c r="Z39" i="4"/>
  <c r="Y39" i="4"/>
  <c r="X39" i="4"/>
  <c r="W39" i="4"/>
  <c r="V39" i="4"/>
  <c r="U39" i="4"/>
  <c r="T39" i="4"/>
  <c r="S39" i="4"/>
  <c r="R39" i="4"/>
  <c r="Q39" i="4"/>
  <c r="P39" i="4"/>
  <c r="O39" i="4"/>
  <c r="N39" i="4"/>
  <c r="M39" i="4"/>
  <c r="L39" i="4"/>
  <c r="AE38" i="4"/>
  <c r="AD38" i="4"/>
  <c r="AC38" i="4"/>
  <c r="AB38" i="4"/>
  <c r="AA38" i="4"/>
  <c r="Z38" i="4"/>
  <c r="Y38" i="4"/>
  <c r="X38" i="4"/>
  <c r="W38" i="4"/>
  <c r="V38" i="4"/>
  <c r="U38" i="4"/>
  <c r="T38" i="4"/>
  <c r="S38" i="4"/>
  <c r="R38" i="4"/>
  <c r="Q38" i="4"/>
  <c r="P38" i="4"/>
  <c r="O38" i="4"/>
  <c r="N38" i="4"/>
  <c r="M38" i="4"/>
  <c r="L38" i="4"/>
  <c r="AE37" i="4"/>
  <c r="AD37" i="4"/>
  <c r="AC37" i="4"/>
  <c r="AB37" i="4"/>
  <c r="AA37" i="4"/>
  <c r="Z37" i="4"/>
  <c r="Y37" i="4"/>
  <c r="X37" i="4"/>
  <c r="W37" i="4"/>
  <c r="V37" i="4"/>
  <c r="U37" i="4"/>
  <c r="T37" i="4"/>
  <c r="S37" i="4"/>
  <c r="R37" i="4"/>
  <c r="Q37" i="4"/>
  <c r="P37" i="4"/>
  <c r="O37" i="4"/>
  <c r="N37" i="4"/>
  <c r="M37" i="4"/>
  <c r="L37" i="4"/>
  <c r="AE36" i="4"/>
  <c r="AD36" i="4"/>
  <c r="AC36" i="4"/>
  <c r="AB36" i="4"/>
  <c r="AA36" i="4"/>
  <c r="Z36" i="4"/>
  <c r="Y36" i="4"/>
  <c r="X36" i="4"/>
  <c r="W36" i="4"/>
  <c r="V36" i="4"/>
  <c r="U36" i="4"/>
  <c r="T36" i="4"/>
  <c r="S36" i="4"/>
  <c r="R36" i="4"/>
  <c r="Q36" i="4"/>
  <c r="P36" i="4"/>
  <c r="O36" i="4"/>
  <c r="N36" i="4"/>
  <c r="M36" i="4"/>
  <c r="L36" i="4"/>
  <c r="AE35" i="4"/>
  <c r="AD35" i="4"/>
  <c r="AC35" i="4"/>
  <c r="AB35" i="4"/>
  <c r="AA35" i="4"/>
  <c r="Z35" i="4"/>
  <c r="Y35" i="4"/>
  <c r="X35" i="4"/>
  <c r="W35" i="4"/>
  <c r="V35" i="4"/>
  <c r="U35" i="4"/>
  <c r="T35" i="4"/>
  <c r="S35" i="4"/>
  <c r="R35" i="4"/>
  <c r="Q35" i="4"/>
  <c r="P35" i="4"/>
  <c r="O35" i="4"/>
  <c r="N35" i="4"/>
  <c r="M35" i="4"/>
  <c r="L35" i="4"/>
  <c r="AE34" i="4"/>
  <c r="AD34" i="4"/>
  <c r="AC34" i="4"/>
  <c r="AB34" i="4"/>
  <c r="AA34" i="4"/>
  <c r="Z34" i="4"/>
  <c r="Y34" i="4"/>
  <c r="X34" i="4"/>
  <c r="W34" i="4"/>
  <c r="V34" i="4"/>
  <c r="U34" i="4"/>
  <c r="T34" i="4"/>
  <c r="S34" i="4"/>
  <c r="R34" i="4"/>
  <c r="Q34" i="4"/>
  <c r="P34" i="4"/>
  <c r="O34" i="4"/>
  <c r="N34" i="4"/>
  <c r="M34" i="4"/>
  <c r="L34" i="4"/>
  <c r="AE33" i="4"/>
  <c r="AD33" i="4"/>
  <c r="AC33" i="4"/>
  <c r="AB33" i="4"/>
  <c r="AA33" i="4"/>
  <c r="Z33" i="4"/>
  <c r="Y33" i="4"/>
  <c r="X33" i="4"/>
  <c r="W33" i="4"/>
  <c r="V33" i="4"/>
  <c r="U33" i="4"/>
  <c r="T33" i="4"/>
  <c r="S33" i="4"/>
  <c r="R33" i="4"/>
  <c r="Q33" i="4"/>
  <c r="P33" i="4"/>
  <c r="O33" i="4"/>
  <c r="N33" i="4"/>
  <c r="M33" i="4"/>
  <c r="L33" i="4"/>
  <c r="AE32" i="4"/>
  <c r="AD32" i="4"/>
  <c r="AC32" i="4"/>
  <c r="AB32" i="4"/>
  <c r="AA32" i="4"/>
  <c r="Z32" i="4"/>
  <c r="Y32" i="4"/>
  <c r="X32" i="4"/>
  <c r="W32" i="4"/>
  <c r="V32" i="4"/>
  <c r="U32" i="4"/>
  <c r="T32" i="4"/>
  <c r="S32" i="4"/>
  <c r="R32" i="4"/>
  <c r="Q32" i="4"/>
  <c r="P32" i="4"/>
  <c r="O32" i="4"/>
  <c r="N32" i="4"/>
  <c r="M32" i="4"/>
  <c r="L32" i="4"/>
  <c r="AE31" i="4"/>
  <c r="AD31" i="4"/>
  <c r="AC31" i="4"/>
  <c r="AB31" i="4"/>
  <c r="AA31" i="4"/>
  <c r="Z31" i="4"/>
  <c r="Y31" i="4"/>
  <c r="X31" i="4"/>
  <c r="W31" i="4"/>
  <c r="V31" i="4"/>
  <c r="U31" i="4"/>
  <c r="T31" i="4"/>
  <c r="S31" i="4"/>
  <c r="R31" i="4"/>
  <c r="Q31" i="4"/>
  <c r="P31" i="4"/>
  <c r="O31" i="4"/>
  <c r="N31" i="4"/>
  <c r="M31" i="4"/>
  <c r="L31" i="4"/>
  <c r="AE30" i="4"/>
  <c r="AD30" i="4"/>
  <c r="AC30" i="4"/>
  <c r="AB30" i="4"/>
  <c r="AA30" i="4"/>
  <c r="Z30" i="4"/>
  <c r="Y30" i="4"/>
  <c r="X30" i="4"/>
  <c r="W30" i="4"/>
  <c r="V30" i="4"/>
  <c r="U30" i="4"/>
  <c r="T30" i="4"/>
  <c r="S30" i="4"/>
  <c r="R30" i="4"/>
  <c r="Q30" i="4"/>
  <c r="P30" i="4"/>
  <c r="O30" i="4"/>
  <c r="N30" i="4"/>
  <c r="M30" i="4"/>
  <c r="L30" i="4"/>
  <c r="AE29" i="4"/>
  <c r="AD29" i="4"/>
  <c r="AC29" i="4"/>
  <c r="AB29" i="4"/>
  <c r="AA29" i="4"/>
  <c r="Z29" i="4"/>
  <c r="Y29" i="4"/>
  <c r="X29" i="4"/>
  <c r="W29" i="4"/>
  <c r="V29" i="4"/>
  <c r="U29" i="4"/>
  <c r="T29" i="4"/>
  <c r="S29" i="4"/>
  <c r="R29" i="4"/>
  <c r="Q29" i="4"/>
  <c r="P29" i="4"/>
  <c r="O29" i="4"/>
  <c r="N29" i="4"/>
  <c r="M29" i="4"/>
  <c r="L29" i="4"/>
  <c r="AE28" i="4"/>
  <c r="AD28" i="4"/>
  <c r="AC28" i="4"/>
  <c r="AB28" i="4"/>
  <c r="AA28" i="4"/>
  <c r="Z28" i="4"/>
  <c r="Y28" i="4"/>
  <c r="X28" i="4"/>
  <c r="W28" i="4"/>
  <c r="V28" i="4"/>
  <c r="U28" i="4"/>
  <c r="T28" i="4"/>
  <c r="S28" i="4"/>
  <c r="R28" i="4"/>
  <c r="Q28" i="4"/>
  <c r="P28" i="4"/>
  <c r="O28" i="4"/>
  <c r="N28" i="4"/>
  <c r="M28" i="4"/>
  <c r="L28" i="4"/>
  <c r="AE27" i="4"/>
  <c r="AD27" i="4"/>
  <c r="AC27" i="4"/>
  <c r="AB27" i="4"/>
  <c r="AA27" i="4"/>
  <c r="Z27" i="4"/>
  <c r="Y27" i="4"/>
  <c r="X27" i="4"/>
  <c r="W27" i="4"/>
  <c r="V27" i="4"/>
  <c r="U27" i="4"/>
  <c r="T27" i="4"/>
  <c r="S27" i="4"/>
  <c r="P54" i="4" s="1"/>
  <c r="R27" i="4"/>
  <c r="O54" i="4" s="1"/>
  <c r="Q27" i="4"/>
  <c r="P27" i="4"/>
  <c r="O27" i="4"/>
  <c r="N27" i="4"/>
  <c r="M27" i="4"/>
  <c r="L27"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AE25" i="4"/>
  <c r="AD25" i="4"/>
  <c r="AC25" i="4"/>
  <c r="AB25" i="4"/>
  <c r="AA25" i="4"/>
  <c r="Z25" i="4"/>
  <c r="Y25" i="4"/>
  <c r="X25" i="4"/>
  <c r="W25" i="4"/>
  <c r="V25" i="4"/>
  <c r="U25" i="4"/>
  <c r="T25" i="4"/>
  <c r="S25" i="4"/>
  <c r="R25" i="4"/>
  <c r="Q25" i="4"/>
  <c r="P25" i="4"/>
  <c r="O25" i="4"/>
  <c r="N25" i="4"/>
  <c r="M25" i="4"/>
  <c r="L25" i="4"/>
  <c r="E24" i="4"/>
  <c r="D24" i="4"/>
  <c r="E23" i="4"/>
  <c r="D23" i="4"/>
  <c r="E22" i="4"/>
  <c r="D22" i="4"/>
  <c r="E21" i="4"/>
  <c r="D21" i="4"/>
  <c r="H16" i="4"/>
  <c r="G16" i="4"/>
  <c r="E20" i="4"/>
  <c r="D20" i="4"/>
  <c r="E19" i="4"/>
  <c r="D19" i="4"/>
  <c r="E18" i="4"/>
  <c r="D18" i="4"/>
  <c r="H15" i="4"/>
  <c r="G15" i="4"/>
  <c r="E17" i="4"/>
  <c r="D17" i="4"/>
  <c r="H14" i="4"/>
  <c r="G14" i="4"/>
  <c r="E16" i="4"/>
  <c r="D16" i="4"/>
  <c r="H13" i="4"/>
  <c r="G13" i="4"/>
  <c r="E15" i="4"/>
  <c r="D15" i="4"/>
  <c r="H12" i="4"/>
  <c r="G12" i="4"/>
  <c r="E14" i="4"/>
  <c r="D14" i="4"/>
  <c r="H11" i="4"/>
  <c r="G11" i="4"/>
  <c r="E13" i="4"/>
  <c r="D13" i="4"/>
  <c r="H10" i="4"/>
  <c r="G10" i="4"/>
  <c r="H9" i="4"/>
  <c r="G9" i="4"/>
  <c r="E12" i="4"/>
  <c r="D12" i="4"/>
  <c r="H8" i="4"/>
  <c r="G8" i="4"/>
  <c r="E11" i="4"/>
  <c r="D11" i="4"/>
  <c r="H7" i="4"/>
  <c r="G7" i="4"/>
  <c r="E10" i="4"/>
  <c r="D10" i="4"/>
  <c r="H6" i="4"/>
  <c r="G6" i="4"/>
  <c r="E9" i="4"/>
  <c r="D9" i="4"/>
  <c r="E8" i="4"/>
  <c r="D8" i="4"/>
  <c r="H5" i="4"/>
  <c r="G5" i="4"/>
  <c r="E7" i="4"/>
  <c r="D7" i="4"/>
  <c r="H4" i="4"/>
  <c r="G4" i="4"/>
  <c r="E6" i="4"/>
  <c r="D6" i="4"/>
  <c r="E5" i="4"/>
  <c r="D5" i="4"/>
  <c r="E4" i="4"/>
  <c r="D4" i="4"/>
  <c r="H3" i="4"/>
  <c r="G3" i="4"/>
  <c r="E3" i="4"/>
  <c r="D3" i="4"/>
  <c r="H2" i="4"/>
  <c r="G2" i="4"/>
  <c r="E2" i="4"/>
  <c r="D2" i="4"/>
  <c r="B2" i="4"/>
  <c r="A2" i="4"/>
  <c r="C42" i="1"/>
  <c r="C45" i="1"/>
  <c r="C46" i="1"/>
  <c r="S46" i="1" s="1"/>
  <c r="E57" i="1"/>
  <c r="A98" i="1"/>
  <c r="G81" i="1"/>
  <c r="G77" i="1"/>
  <c r="N70" i="1"/>
  <c r="A62" i="1"/>
  <c r="I62" i="1"/>
  <c r="I61" i="1"/>
  <c r="P33" i="1"/>
  <c r="P36" i="1"/>
  <c r="P37" i="1" s="1"/>
  <c r="G58" i="1"/>
  <c r="P58" i="1"/>
  <c r="U46" i="1"/>
  <c r="U47" i="1"/>
  <c r="U48" i="1"/>
  <c r="U49" i="1"/>
  <c r="U50" i="1"/>
  <c r="U51" i="1"/>
  <c r="U52" i="1"/>
  <c r="U53" i="1"/>
  <c r="U54" i="1"/>
  <c r="T46" i="1"/>
  <c r="T47" i="1"/>
  <c r="T48" i="1"/>
  <c r="T49" i="1"/>
  <c r="T50" i="1"/>
  <c r="T51" i="1"/>
  <c r="T52" i="1"/>
  <c r="T53" i="1"/>
  <c r="T54" i="1"/>
  <c r="G56" i="1"/>
  <c r="G57" i="1" s="1"/>
  <c r="C47" i="1"/>
  <c r="S47" i="1" s="1"/>
  <c r="U45" i="1"/>
  <c r="G80" i="1" l="1"/>
  <c r="J2" i="4" a="1"/>
  <c r="J2" i="4" s="1"/>
  <c r="I2" i="4" s="1"/>
  <c r="I3" i="4" s="1"/>
  <c r="I4" i="4" s="1"/>
  <c r="I5" i="4" s="1"/>
  <c r="I6" i="4" s="1"/>
  <c r="I7" i="4" s="1"/>
  <c r="I8" i="4" s="1"/>
  <c r="I9" i="4" s="1"/>
  <c r="I10" i="4" s="1"/>
  <c r="I11" i="4" s="1"/>
  <c r="I12" i="4" s="1"/>
  <c r="I13" i="4" s="1"/>
  <c r="I14" i="4" s="1"/>
  <c r="I15" i="4" s="1"/>
  <c r="I16" i="4" s="1"/>
  <c r="I17" i="4" s="1"/>
  <c r="I18" i="4" s="1"/>
  <c r="I19" i="4" s="1"/>
  <c r="I20" i="4" s="1"/>
  <c r="I21" i="4" s="1"/>
  <c r="J42" i="4" a="1"/>
  <c r="J42" i="4" s="1"/>
  <c r="J82" i="4" a="1"/>
  <c r="J82" i="4" s="1"/>
  <c r="J122" i="4" a="1"/>
  <c r="J122" i="4" s="1"/>
  <c r="J162" i="4" a="1"/>
  <c r="J162" i="4" s="1"/>
  <c r="J202" i="4" a="1"/>
  <c r="J202" i="4" s="1"/>
  <c r="J242" i="4" a="1"/>
  <c r="J242" i="4" s="1"/>
  <c r="J282" i="4" a="1"/>
  <c r="J282" i="4" s="1"/>
  <c r="J322" i="4" a="1"/>
  <c r="J322" i="4" s="1"/>
  <c r="J402" i="4" a="1"/>
  <c r="J402" i="4" s="1"/>
  <c r="J442" i="4" a="1"/>
  <c r="J442" i="4" s="1"/>
  <c r="J22" i="4" a="1"/>
  <c r="J22" i="4" s="1"/>
  <c r="J62" i="4" a="1"/>
  <c r="J62" i="4" s="1"/>
  <c r="J102" i="4" a="1"/>
  <c r="J102" i="4" s="1"/>
  <c r="J182" i="4" a="1"/>
  <c r="J182" i="4" s="1"/>
  <c r="J222" i="4" a="1"/>
  <c r="J222" i="4" s="1"/>
  <c r="J262" i="4" a="1"/>
  <c r="J262" i="4" s="1"/>
  <c r="J302" i="4" a="1"/>
  <c r="J302" i="4" s="1"/>
  <c r="J342" i="4" a="1"/>
  <c r="J342" i="4" s="1"/>
  <c r="J362" i="4" a="1"/>
  <c r="J362" i="4" s="1"/>
  <c r="J382" i="4" a="1"/>
  <c r="J382" i="4" s="1"/>
  <c r="J422" i="4" a="1"/>
  <c r="J422" i="4" s="1"/>
  <c r="J142" i="4" a="1"/>
  <c r="J142" i="4" s="1"/>
  <c r="O37" i="1"/>
  <c r="V46" i="1"/>
  <c r="V47" i="1"/>
  <c r="I22" i="4" l="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I103" i="4" s="1"/>
  <c r="I104" i="4" s="1"/>
  <c r="I105" i="4" s="1"/>
  <c r="I106" i="4" s="1"/>
  <c r="I107" i="4" s="1"/>
  <c r="I108" i="4" s="1"/>
  <c r="I109" i="4" s="1"/>
  <c r="I110" i="4" s="1"/>
  <c r="I111" i="4" s="1"/>
  <c r="I112" i="4" s="1"/>
  <c r="I113" i="4" s="1"/>
  <c r="I114" i="4" s="1"/>
  <c r="I115" i="4" s="1"/>
  <c r="I116" i="4" s="1"/>
  <c r="I117" i="4" s="1"/>
  <c r="I118" i="4" s="1"/>
  <c r="I119" i="4" s="1"/>
  <c r="I120" i="4" s="1"/>
  <c r="I121" i="4" s="1"/>
  <c r="I122" i="4" s="1"/>
  <c r="I123" i="4" s="1"/>
  <c r="I124" i="4" s="1"/>
  <c r="I125" i="4" s="1"/>
  <c r="I126" i="4" s="1"/>
  <c r="I127" i="4" s="1"/>
  <c r="I128" i="4" s="1"/>
  <c r="I129" i="4" s="1"/>
  <c r="I130" i="4" s="1"/>
  <c r="I131" i="4" s="1"/>
  <c r="I132" i="4" s="1"/>
  <c r="I133" i="4" s="1"/>
  <c r="I134" i="4" s="1"/>
  <c r="I135" i="4" s="1"/>
  <c r="I136" i="4" s="1"/>
  <c r="I137" i="4" s="1"/>
  <c r="I138" i="4" s="1"/>
  <c r="I139" i="4" s="1"/>
  <c r="I140" i="4" s="1"/>
  <c r="I141" i="4" s="1"/>
  <c r="I142" i="4" s="1"/>
  <c r="I143" i="4" s="1"/>
  <c r="I144" i="4" s="1"/>
  <c r="I145" i="4" s="1"/>
  <c r="I146" i="4" s="1"/>
  <c r="I147" i="4" s="1"/>
  <c r="I148" i="4" s="1"/>
  <c r="I149" i="4" s="1"/>
  <c r="I150" i="4" s="1"/>
  <c r="I151" i="4" s="1"/>
  <c r="I152" i="4" s="1"/>
  <c r="I153" i="4" s="1"/>
  <c r="I154" i="4" s="1"/>
  <c r="I155" i="4" s="1"/>
  <c r="I156" i="4" s="1"/>
  <c r="I157" i="4" s="1"/>
  <c r="I158" i="4" s="1"/>
  <c r="I159" i="4" s="1"/>
  <c r="I160" i="4" s="1"/>
  <c r="I161" i="4" s="1"/>
  <c r="I162" i="4" s="1"/>
  <c r="I163" i="4" s="1"/>
  <c r="I164" i="4" s="1"/>
  <c r="I165" i="4" s="1"/>
  <c r="I166" i="4" s="1"/>
  <c r="I167" i="4" s="1"/>
  <c r="I168" i="4" s="1"/>
  <c r="I169" i="4" s="1"/>
  <c r="I170" i="4" s="1"/>
  <c r="I171" i="4" s="1"/>
  <c r="I172" i="4" s="1"/>
  <c r="I173" i="4" s="1"/>
  <c r="I174" i="4" s="1"/>
  <c r="I175" i="4" s="1"/>
  <c r="I176" i="4" s="1"/>
  <c r="I177" i="4" s="1"/>
  <c r="I178" i="4" s="1"/>
  <c r="I179" i="4" s="1"/>
  <c r="I180" i="4" s="1"/>
  <c r="I181" i="4" s="1"/>
  <c r="I182" i="4" s="1"/>
  <c r="I183" i="4" s="1"/>
  <c r="I184" i="4" s="1"/>
  <c r="I185" i="4" s="1"/>
  <c r="I186" i="4" s="1"/>
  <c r="I187" i="4" s="1"/>
  <c r="I188" i="4" s="1"/>
  <c r="I189" i="4" s="1"/>
  <c r="I190" i="4" s="1"/>
  <c r="I191" i="4" s="1"/>
  <c r="I192" i="4" s="1"/>
  <c r="I193" i="4" s="1"/>
  <c r="I194" i="4" s="1"/>
  <c r="I195" i="4" s="1"/>
  <c r="I196" i="4" s="1"/>
  <c r="I197" i="4" s="1"/>
  <c r="I198" i="4" s="1"/>
  <c r="I199" i="4" s="1"/>
  <c r="I200" i="4" s="1"/>
  <c r="I201" i="4" s="1"/>
  <c r="I202" i="4" s="1"/>
  <c r="I203" i="4" s="1"/>
  <c r="I204" i="4" s="1"/>
  <c r="I205" i="4" s="1"/>
  <c r="I206" i="4" s="1"/>
  <c r="I207" i="4" s="1"/>
  <c r="I208" i="4" s="1"/>
  <c r="I209" i="4" s="1"/>
  <c r="I210" i="4" s="1"/>
  <c r="I211" i="4" s="1"/>
  <c r="I212" i="4" s="1"/>
  <c r="I213" i="4" s="1"/>
  <c r="I214" i="4" s="1"/>
  <c r="I215" i="4" s="1"/>
  <c r="I216" i="4" s="1"/>
  <c r="I217" i="4" s="1"/>
  <c r="I218" i="4" s="1"/>
  <c r="I219" i="4" s="1"/>
  <c r="I220" i="4" s="1"/>
  <c r="I221" i="4" s="1"/>
  <c r="I222" i="4" s="1"/>
  <c r="I223" i="4" s="1"/>
  <c r="I224" i="4" s="1"/>
  <c r="I225" i="4" s="1"/>
  <c r="I226" i="4" s="1"/>
  <c r="I227" i="4" s="1"/>
  <c r="I228" i="4" s="1"/>
  <c r="I229" i="4" s="1"/>
  <c r="I230" i="4" s="1"/>
  <c r="I231" i="4" s="1"/>
  <c r="I232" i="4" s="1"/>
  <c r="I233" i="4" s="1"/>
  <c r="I234" i="4" s="1"/>
  <c r="I235" i="4" s="1"/>
  <c r="I236" i="4" s="1"/>
  <c r="I237" i="4" s="1"/>
  <c r="I238" i="4" s="1"/>
  <c r="I239" i="4" s="1"/>
  <c r="I240" i="4" s="1"/>
  <c r="I241" i="4" s="1"/>
  <c r="I242" i="4" s="1"/>
  <c r="I243" i="4" s="1"/>
  <c r="I244" i="4" s="1"/>
  <c r="I245" i="4" s="1"/>
  <c r="I246" i="4" s="1"/>
  <c r="I247" i="4" s="1"/>
  <c r="I248" i="4" s="1"/>
  <c r="I249" i="4" s="1"/>
  <c r="I250" i="4" s="1"/>
  <c r="I251" i="4" s="1"/>
  <c r="I252" i="4" s="1"/>
  <c r="I253" i="4" s="1"/>
  <c r="I254" i="4" s="1"/>
  <c r="I255" i="4" s="1"/>
  <c r="I256" i="4" s="1"/>
  <c r="I257" i="4" s="1"/>
  <c r="I258" i="4" s="1"/>
  <c r="I259" i="4" s="1"/>
  <c r="I260" i="4" s="1"/>
  <c r="I261" i="4" s="1"/>
  <c r="I262" i="4" s="1"/>
  <c r="I263" i="4" s="1"/>
  <c r="I264" i="4" s="1"/>
  <c r="I265" i="4" s="1"/>
  <c r="I266" i="4" s="1"/>
  <c r="I267" i="4" s="1"/>
  <c r="I268" i="4" s="1"/>
  <c r="I269" i="4" s="1"/>
  <c r="I270" i="4" s="1"/>
  <c r="I271" i="4" s="1"/>
  <c r="I272" i="4" s="1"/>
  <c r="I273" i="4" s="1"/>
  <c r="I274" i="4" s="1"/>
  <c r="I275" i="4" s="1"/>
  <c r="I276" i="4" s="1"/>
  <c r="I277" i="4" s="1"/>
  <c r="I278" i="4" s="1"/>
  <c r="I279" i="4" s="1"/>
  <c r="I280" i="4" s="1"/>
  <c r="I281" i="4" s="1"/>
  <c r="I282" i="4" s="1"/>
  <c r="I283" i="4" s="1"/>
  <c r="I284" i="4" s="1"/>
  <c r="I285" i="4" s="1"/>
  <c r="I286" i="4" s="1"/>
  <c r="I287" i="4" s="1"/>
  <c r="I288" i="4" s="1"/>
  <c r="I289" i="4" s="1"/>
  <c r="I290" i="4" s="1"/>
  <c r="I291" i="4" s="1"/>
  <c r="I292" i="4" s="1"/>
  <c r="I293" i="4" s="1"/>
  <c r="I294" i="4" s="1"/>
  <c r="I295" i="4" s="1"/>
  <c r="I296" i="4" s="1"/>
  <c r="I297" i="4" s="1"/>
  <c r="I298" i="4" s="1"/>
  <c r="I299" i="4" s="1"/>
  <c r="I300" i="4" s="1"/>
  <c r="I301" i="4" s="1"/>
  <c r="I302" i="4" s="1"/>
  <c r="I303" i="4" s="1"/>
  <c r="I304" i="4" s="1"/>
  <c r="I305" i="4" s="1"/>
  <c r="I306" i="4" s="1"/>
  <c r="I307" i="4" s="1"/>
  <c r="I308" i="4" s="1"/>
  <c r="I309" i="4" s="1"/>
  <c r="I310" i="4" s="1"/>
  <c r="I311" i="4" s="1"/>
  <c r="I312" i="4" s="1"/>
  <c r="I313" i="4" s="1"/>
  <c r="I314" i="4" s="1"/>
  <c r="I315" i="4" s="1"/>
  <c r="I316" i="4" s="1"/>
  <c r="I317" i="4" s="1"/>
  <c r="I318" i="4" s="1"/>
  <c r="I319" i="4" s="1"/>
  <c r="I320" i="4" s="1"/>
  <c r="I321" i="4" s="1"/>
  <c r="I322" i="4" s="1"/>
  <c r="I323" i="4" s="1"/>
  <c r="I324" i="4" s="1"/>
  <c r="I325" i="4" s="1"/>
  <c r="I326" i="4" s="1"/>
  <c r="I327" i="4" s="1"/>
  <c r="I328" i="4" s="1"/>
  <c r="I329" i="4" s="1"/>
  <c r="I330" i="4" s="1"/>
  <c r="I331" i="4" s="1"/>
  <c r="I332" i="4" s="1"/>
  <c r="I333" i="4" s="1"/>
  <c r="I334" i="4" s="1"/>
  <c r="I335" i="4" s="1"/>
  <c r="I336" i="4" s="1"/>
  <c r="I337" i="4" s="1"/>
  <c r="I338" i="4" s="1"/>
  <c r="I339" i="4" s="1"/>
  <c r="I340" i="4" s="1"/>
  <c r="I341" i="4" s="1"/>
  <c r="I342" i="4" s="1"/>
  <c r="I343" i="4" s="1"/>
  <c r="I344" i="4" s="1"/>
  <c r="I345" i="4" s="1"/>
  <c r="I346" i="4" s="1"/>
  <c r="I347" i="4" s="1"/>
  <c r="I348" i="4" s="1"/>
  <c r="I349" i="4" s="1"/>
  <c r="I350" i="4" s="1"/>
  <c r="I351" i="4" s="1"/>
  <c r="I352" i="4" s="1"/>
  <c r="I353" i="4" s="1"/>
  <c r="I354" i="4" s="1"/>
  <c r="I355" i="4" s="1"/>
  <c r="I356" i="4" s="1"/>
  <c r="I357" i="4" s="1"/>
  <c r="I358" i="4" s="1"/>
  <c r="I359" i="4" s="1"/>
  <c r="I360" i="4" s="1"/>
  <c r="I361" i="4" s="1"/>
  <c r="I362" i="4" s="1"/>
  <c r="I363" i="4" s="1"/>
  <c r="I364" i="4" s="1"/>
  <c r="I365" i="4" s="1"/>
  <c r="I366" i="4" s="1"/>
  <c r="I367" i="4" s="1"/>
  <c r="I368" i="4" s="1"/>
  <c r="I369" i="4" s="1"/>
  <c r="I370" i="4" s="1"/>
  <c r="I371" i="4" s="1"/>
  <c r="I372" i="4" s="1"/>
  <c r="I373" i="4" s="1"/>
  <c r="I374" i="4" s="1"/>
  <c r="I375" i="4" s="1"/>
  <c r="I376" i="4" s="1"/>
  <c r="I377" i="4" s="1"/>
  <c r="I378" i="4" s="1"/>
  <c r="I379" i="4" s="1"/>
  <c r="I380" i="4" s="1"/>
  <c r="I381" i="4" s="1"/>
  <c r="I382" i="4" s="1"/>
  <c r="I383" i="4" s="1"/>
  <c r="I384" i="4" s="1"/>
  <c r="I385" i="4" s="1"/>
  <c r="I386" i="4" s="1"/>
  <c r="I387" i="4" s="1"/>
  <c r="I388" i="4" s="1"/>
  <c r="I389" i="4" s="1"/>
  <c r="I390" i="4" s="1"/>
  <c r="I391" i="4" s="1"/>
  <c r="I392" i="4" s="1"/>
  <c r="I393" i="4" s="1"/>
  <c r="I394" i="4" s="1"/>
  <c r="I395" i="4" s="1"/>
  <c r="I396" i="4" s="1"/>
  <c r="I397" i="4" s="1"/>
  <c r="I398" i="4" s="1"/>
  <c r="I399" i="4" s="1"/>
  <c r="I400" i="4" s="1"/>
  <c r="I401" i="4" s="1"/>
  <c r="I402" i="4" s="1"/>
  <c r="I403" i="4" s="1"/>
  <c r="I404" i="4" s="1"/>
  <c r="I405" i="4" s="1"/>
  <c r="I406" i="4" s="1"/>
  <c r="I407" i="4" s="1"/>
  <c r="I408" i="4" s="1"/>
  <c r="I409" i="4" s="1"/>
  <c r="I410" i="4" s="1"/>
  <c r="I411" i="4" s="1"/>
  <c r="I412" i="4" s="1"/>
  <c r="I413" i="4" s="1"/>
  <c r="I414" i="4" s="1"/>
  <c r="I415" i="4" s="1"/>
  <c r="I416" i="4" s="1"/>
  <c r="I417" i="4" s="1"/>
  <c r="I418" i="4" s="1"/>
  <c r="I419" i="4" s="1"/>
  <c r="I420" i="4" s="1"/>
  <c r="I421" i="4" s="1"/>
  <c r="I422" i="4" s="1"/>
  <c r="I423" i="4" s="1"/>
  <c r="I424" i="4" s="1"/>
  <c r="I425" i="4" s="1"/>
  <c r="I426" i="4" s="1"/>
  <c r="I427" i="4" s="1"/>
  <c r="I428" i="4" s="1"/>
  <c r="I429" i="4" s="1"/>
  <c r="I430" i="4" s="1"/>
  <c r="I431" i="4" s="1"/>
  <c r="I432" i="4" s="1"/>
  <c r="I433" i="4" s="1"/>
  <c r="I434" i="4" s="1"/>
  <c r="I435" i="4" s="1"/>
  <c r="I436" i="4" s="1"/>
  <c r="I437" i="4" s="1"/>
  <c r="I438" i="4" s="1"/>
  <c r="I439" i="4" s="1"/>
  <c r="I440" i="4" s="1"/>
  <c r="I441" i="4" s="1"/>
  <c r="I442" i="4" s="1"/>
  <c r="I443" i="4" s="1"/>
  <c r="I444" i="4" s="1"/>
  <c r="I445" i="4" s="1"/>
  <c r="I446" i="4" s="1"/>
  <c r="I447" i="4" s="1"/>
  <c r="I448" i="4" s="1"/>
  <c r="I449" i="4" s="1"/>
  <c r="I450" i="4" s="1"/>
  <c r="I451" i="4" s="1"/>
  <c r="I452" i="4" s="1"/>
  <c r="I453" i="4" s="1"/>
  <c r="I454" i="4" s="1"/>
  <c r="I455" i="4" s="1"/>
  <c r="I456" i="4" s="1"/>
  <c r="I457" i="4" s="1"/>
  <c r="I458" i="4" s="1"/>
  <c r="I459" i="4" s="1"/>
  <c r="I460" i="4" s="1"/>
  <c r="I461" i="4" s="1"/>
  <c r="T45" i="1"/>
  <c r="S42" i="1"/>
  <c r="V42" i="1" s="1"/>
  <c r="S45" i="1"/>
  <c r="K54" i="1"/>
  <c r="K53" i="1"/>
  <c r="K52" i="1"/>
  <c r="K51" i="1"/>
  <c r="K50" i="1"/>
  <c r="K49" i="1"/>
  <c r="K48" i="1"/>
  <c r="K47" i="1"/>
  <c r="K46" i="1"/>
  <c r="K45" i="1"/>
  <c r="C54" i="1"/>
  <c r="S54" i="1" s="1"/>
  <c r="V54" i="1" s="1"/>
  <c r="B13" i="4" l="1"/>
  <c r="B15" i="4"/>
  <c r="B8" i="4"/>
  <c r="B5" i="4"/>
  <c r="B17" i="4"/>
  <c r="B10" i="4"/>
  <c r="B21" i="4"/>
  <c r="B18" i="4"/>
  <c r="B6" i="4"/>
  <c r="B12" i="4"/>
  <c r="B16" i="4"/>
  <c r="B11" i="4"/>
  <c r="B14" i="4"/>
  <c r="B20" i="4"/>
  <c r="B9" i="4"/>
  <c r="B7" i="4"/>
  <c r="B19" i="4"/>
  <c r="B22" i="4"/>
  <c r="B4" i="4"/>
  <c r="B3" i="4"/>
  <c r="V45" i="1"/>
  <c r="C48" i="1" l="1"/>
  <c r="S48" i="1" s="1"/>
  <c r="V48" i="1" s="1"/>
  <c r="C49" i="1"/>
  <c r="S49" i="1" s="1"/>
  <c r="V49" i="1" s="1"/>
  <c r="C50" i="1"/>
  <c r="S50" i="1" s="1"/>
  <c r="V50" i="1" s="1"/>
  <c r="C51" i="1"/>
  <c r="S51" i="1" s="1"/>
  <c r="V51" i="1" s="1"/>
  <c r="C52" i="1"/>
  <c r="S52" i="1" s="1"/>
  <c r="V52" i="1" s="1"/>
  <c r="C53" i="1"/>
  <c r="S53" i="1" s="1"/>
  <c r="V53" i="1" s="1"/>
  <c r="F56" i="1" l="1"/>
  <c r="F57" i="1" l="1"/>
  <c r="F58" i="1" s="1"/>
  <c r="C61" i="1"/>
  <c r="A64" i="1"/>
  <c r="A61" i="1"/>
  <c r="A60" i="1"/>
  <c r="G62" i="1"/>
  <c r="G61" i="1"/>
  <c r="F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<sst xmlns="http://schemas.openxmlformats.org/spreadsheetml/2006/main" count="1611" uniqueCount="836">
  <si>
    <t>Address</t>
  </si>
  <si>
    <t>Phone</t>
  </si>
  <si>
    <t>Contact Details</t>
  </si>
  <si>
    <t>Email</t>
  </si>
  <si>
    <t>City</t>
  </si>
  <si>
    <t>1. Project Information</t>
  </si>
  <si>
    <t>2. Device Operational Profile</t>
  </si>
  <si>
    <t>Nominal</t>
  </si>
  <si>
    <t>µA</t>
  </si>
  <si>
    <t>Duration</t>
  </si>
  <si>
    <t>3. Environmental Requirements</t>
  </si>
  <si>
    <t xml:space="preserve">Average </t>
  </si>
  <si>
    <t>Maximum Available Dimensions</t>
  </si>
  <si>
    <t>Length</t>
  </si>
  <si>
    <t>Width</t>
  </si>
  <si>
    <t>Height</t>
  </si>
  <si>
    <t>Diameter</t>
  </si>
  <si>
    <t>Wires Length</t>
  </si>
  <si>
    <t>Weight</t>
  </si>
  <si>
    <t xml:space="preserve">Alternative Battery </t>
  </si>
  <si>
    <t>Feasability Stage</t>
  </si>
  <si>
    <t>Project Description</t>
  </si>
  <si>
    <t>Project Status</t>
  </si>
  <si>
    <t>4. Mechanical Properties</t>
  </si>
  <si>
    <t>5. Commercial Information</t>
  </si>
  <si>
    <t>Units</t>
  </si>
  <si>
    <t>µsec</t>
  </si>
  <si>
    <t>msec</t>
  </si>
  <si>
    <t>sec</t>
  </si>
  <si>
    <t>min</t>
  </si>
  <si>
    <t>mA</t>
  </si>
  <si>
    <t>A</t>
  </si>
  <si>
    <t>Location</t>
  </si>
  <si>
    <t>Indoor</t>
  </si>
  <si>
    <t>Outdoor</t>
  </si>
  <si>
    <t>Both</t>
  </si>
  <si>
    <t>mm</t>
  </si>
  <si>
    <t>cm</t>
  </si>
  <si>
    <t>Qty.</t>
  </si>
  <si>
    <t>pcs</t>
  </si>
  <si>
    <t>Q1</t>
  </si>
  <si>
    <t>Q2</t>
  </si>
  <si>
    <t>Q3</t>
  </si>
  <si>
    <t>Q4</t>
  </si>
  <si>
    <t>Production</t>
  </si>
  <si>
    <t>Title</t>
  </si>
  <si>
    <t>Filled by</t>
  </si>
  <si>
    <t>Customer</t>
  </si>
  <si>
    <t>Choose</t>
  </si>
  <si>
    <t>Other</t>
  </si>
  <si>
    <t>www.tadiranbat.com</t>
  </si>
  <si>
    <t>www.tadiranbatteries.de</t>
  </si>
  <si>
    <t>Rechargeable Battery</t>
  </si>
  <si>
    <t>Solar</t>
  </si>
  <si>
    <t>Designated charger</t>
  </si>
  <si>
    <t xml:space="preserve">Other  </t>
  </si>
  <si>
    <t xml:space="preserve">Choose </t>
  </si>
  <si>
    <t>Rechargeable</t>
  </si>
  <si>
    <t>Company</t>
  </si>
  <si>
    <t>Country</t>
  </si>
  <si>
    <t>Device Location</t>
  </si>
  <si>
    <t>Max. weight</t>
  </si>
  <si>
    <t>Type</t>
  </si>
  <si>
    <t>How did you learn about Tadiran products?</t>
  </si>
  <si>
    <t>6. Notes, comments and remarks</t>
  </si>
  <si>
    <t>Not determined yet</t>
  </si>
  <si>
    <t>Primary</t>
  </si>
  <si>
    <t>Special Conditions 
(humidity, shock, vibration, etc.)</t>
  </si>
  <si>
    <t>W</t>
  </si>
  <si>
    <t>mW</t>
  </si>
  <si>
    <t>µW</t>
  </si>
  <si>
    <t>Load</t>
  </si>
  <si>
    <t>Main power source</t>
  </si>
  <si>
    <t>To enable Tadiran to provide the most appropriate solution to your battery requirement, kindly fill in this questionnaire with the maximum data you can provide. 
Your data will be treated with full confidentiality and be used only for optimizing our solution.</t>
  </si>
  <si>
    <t>Project Designation / Reference</t>
  </si>
  <si>
    <t>Development Stage</t>
  </si>
  <si>
    <t>Target Price</t>
  </si>
  <si>
    <t>Currency</t>
  </si>
  <si>
    <t xml:space="preserve">Maker </t>
  </si>
  <si>
    <t xml:space="preserve">Model </t>
  </si>
  <si>
    <t>Automotive</t>
  </si>
  <si>
    <t>Medical</t>
  </si>
  <si>
    <t>Oil &amp; Gas</t>
  </si>
  <si>
    <t>Security</t>
  </si>
  <si>
    <t>Tracking</t>
  </si>
  <si>
    <t>Current Consumption</t>
  </si>
  <si>
    <t>Power Consumption</t>
  </si>
  <si>
    <t>Constant load in operation (background)</t>
  </si>
  <si>
    <t>hour</t>
  </si>
  <si>
    <t>day</t>
  </si>
  <si>
    <t>week</t>
  </si>
  <si>
    <t>month</t>
  </si>
  <si>
    <t>year</t>
  </si>
  <si>
    <t>Wire and/or Connector</t>
  </si>
  <si>
    <t>Battery Holder</t>
  </si>
  <si>
    <t>Unknown</t>
  </si>
  <si>
    <t>Maximum</t>
  </si>
  <si>
    <t>Minimum</t>
  </si>
  <si>
    <t>Picklist Application</t>
  </si>
  <si>
    <t>Picklist market</t>
  </si>
  <si>
    <t>E-Call</t>
  </si>
  <si>
    <t>Meteorology</t>
  </si>
  <si>
    <t>Emergency Lighting Unit</t>
  </si>
  <si>
    <t>Automated External Defibrillators</t>
  </si>
  <si>
    <t>Chemical Agent Detectors</t>
  </si>
  <si>
    <t>Miner Portable Devices</t>
  </si>
  <si>
    <t>Payment Terminals</t>
  </si>
  <si>
    <t>Buoys</t>
  </si>
  <si>
    <t>Alarms</t>
  </si>
  <si>
    <t>Communication Modules</t>
  </si>
  <si>
    <t>Oceanography Equipment</t>
  </si>
  <si>
    <t>Street Lighting</t>
  </si>
  <si>
    <t>E Health Devices</t>
  </si>
  <si>
    <t>Future Soldier Combat Systems</t>
  </si>
  <si>
    <t>Downhole / Well Instrumentation</t>
  </si>
  <si>
    <t>Cash Protection Systems</t>
  </si>
  <si>
    <t>Data Concentrators / Gateways</t>
  </si>
  <si>
    <t>Industrial Robots</t>
  </si>
  <si>
    <t>Tire Pressure Monitoring</t>
  </si>
  <si>
    <t>Pollution Monitoring</t>
  </si>
  <si>
    <t>Infusion Pumps</t>
  </si>
  <si>
    <t>GPS</t>
  </si>
  <si>
    <t>Underground Mining Machinery</t>
  </si>
  <si>
    <t>Forklifts</t>
  </si>
  <si>
    <t>CCTV Surveillance</t>
  </si>
  <si>
    <t>Electricity Meters</t>
  </si>
  <si>
    <t>Life Analysis Service</t>
  </si>
  <si>
    <t>Medical Carts</t>
  </si>
  <si>
    <t>Ground Radars</t>
  </si>
  <si>
    <t>Railway</t>
  </si>
  <si>
    <t>Firemen Equipment</t>
  </si>
  <si>
    <t>Electronic Safes</t>
  </si>
  <si>
    <t>Gas Meters</t>
  </si>
  <si>
    <t>Woodfire Monitoring</t>
  </si>
  <si>
    <t>Lamps</t>
  </si>
  <si>
    <t>Oil Drilling Monitoring Sensors (MWD / LWD)</t>
  </si>
  <si>
    <t>Parachutes</t>
  </si>
  <si>
    <t>Safe Locks</t>
  </si>
  <si>
    <t>RFID</t>
  </si>
  <si>
    <t>Heat Cost Allocators</t>
  </si>
  <si>
    <t>Tank Monitoring</t>
  </si>
  <si>
    <t>Respiration &amp; Ventilation</t>
  </si>
  <si>
    <t>Laser</t>
  </si>
  <si>
    <t>Wheelchairs</t>
  </si>
  <si>
    <t>Pipeline Inspection</t>
  </si>
  <si>
    <t>Safety Jackets</t>
  </si>
  <si>
    <t>Surgery Tools</t>
  </si>
  <si>
    <t>Well Completion Tool</t>
  </si>
  <si>
    <t>Safety Pyrotechnics Devices</t>
  </si>
  <si>
    <t>Water Meters</t>
  </si>
  <si>
    <t>Night Vision Googles</t>
  </si>
  <si>
    <t>Shuttles</t>
  </si>
  <si>
    <t>Police Equipment</t>
  </si>
  <si>
    <t>Radiocommunications</t>
  </si>
  <si>
    <t>UPS Backup</t>
  </si>
  <si>
    <t>Application</t>
  </si>
  <si>
    <t>AQ</t>
  </si>
  <si>
    <t>Company Name</t>
  </si>
  <si>
    <t>Afghanistan</t>
  </si>
  <si>
    <t>Akrotiri</t>
  </si>
  <si>
    <t>Albania</t>
  </si>
  <si>
    <t>Algeria</t>
  </si>
  <si>
    <t>American Samoa</t>
  </si>
  <si>
    <t>Andorra</t>
  </si>
  <si>
    <t>Angola</t>
  </si>
  <si>
    <t>Anguilla</t>
  </si>
  <si>
    <t>Antarctica</t>
  </si>
  <si>
    <t>Antigua and Barbuda</t>
  </si>
  <si>
    <t>Argentina</t>
  </si>
  <si>
    <t>Armenia</t>
  </si>
  <si>
    <t>Aruba</t>
  </si>
  <si>
    <t>Ashmore and Cartier Islands</t>
  </si>
  <si>
    <t>Australia</t>
  </si>
  <si>
    <t>Austria</t>
  </si>
  <si>
    <t>Azerbaijan</t>
  </si>
  <si>
    <t>Bahamas, The</t>
  </si>
  <si>
    <t>Bahrain</t>
  </si>
  <si>
    <t>Bangladesh</t>
  </si>
  <si>
    <t>Barbados</t>
  </si>
  <si>
    <t>Bassas da India</t>
  </si>
  <si>
    <t>Belarus</t>
  </si>
  <si>
    <t>Belgium</t>
  </si>
  <si>
    <t>Belize</t>
  </si>
  <si>
    <t>Benin</t>
  </si>
  <si>
    <t>Bermuda</t>
  </si>
  <si>
    <t>Bhutan</t>
  </si>
  <si>
    <t>Bolivia</t>
  </si>
  <si>
    <t>Bosnia and Herzegovina</t>
  </si>
  <si>
    <t>Botswana</t>
  </si>
  <si>
    <t>Bouvet Island</t>
  </si>
  <si>
    <t>Brazil</t>
  </si>
  <si>
    <t>British Indian Ocean Territory</t>
  </si>
  <si>
    <t>British Virgin Islands</t>
  </si>
  <si>
    <t>Brunei</t>
  </si>
  <si>
    <t>Bulgaria</t>
  </si>
  <si>
    <t>Burkina Faso</t>
  </si>
  <si>
    <t>Burundi</t>
  </si>
  <si>
    <t>Cambodia</t>
  </si>
  <si>
    <t>Cameroon</t>
  </si>
  <si>
    <t>Canada</t>
  </si>
  <si>
    <t>Cape Verde</t>
  </si>
  <si>
    <t>Cayman Islands</t>
  </si>
  <si>
    <t>Central African Republic</t>
  </si>
  <si>
    <t>Chad</t>
  </si>
  <si>
    <t>Chile</t>
  </si>
  <si>
    <t>China</t>
  </si>
  <si>
    <t>Christmas Island</t>
  </si>
  <si>
    <t>Clipperton Island</t>
  </si>
  <si>
    <t>Cocos (Keeling) Islands</t>
  </si>
  <si>
    <t>Colombia</t>
  </si>
  <si>
    <t>Comoros</t>
  </si>
  <si>
    <t>Congo, Democratic Republic of the</t>
  </si>
  <si>
    <t>Congo, Republic of the</t>
  </si>
  <si>
    <t>Cook Islands</t>
  </si>
  <si>
    <t>Coral Sea Islands</t>
  </si>
  <si>
    <t>Costa Rica</t>
  </si>
  <si>
    <t>Cote d'Ivoire</t>
  </si>
  <si>
    <t>Croatia</t>
  </si>
  <si>
    <t>Cuba</t>
  </si>
  <si>
    <t>Cyprus</t>
  </si>
  <si>
    <t>Czech Republic</t>
  </si>
  <si>
    <t>Denmark</t>
  </si>
  <si>
    <t>Dhekelia</t>
  </si>
  <si>
    <t>Djibouti</t>
  </si>
  <si>
    <t>Dominica</t>
  </si>
  <si>
    <t>Dominican Republic</t>
  </si>
  <si>
    <t>Ecuador</t>
  </si>
  <si>
    <t>Egypt</t>
  </si>
  <si>
    <t>El Salvador</t>
  </si>
  <si>
    <t>Equatorial Guinea</t>
  </si>
  <si>
    <t>Eritrea</t>
  </si>
  <si>
    <t>Estonia</t>
  </si>
  <si>
    <t>Ethiopia</t>
  </si>
  <si>
    <t>Europa Island</t>
  </si>
  <si>
    <t>Falkland Islands (Islas Malvinas)</t>
  </si>
  <si>
    <t>Faroe Islands</t>
  </si>
  <si>
    <t>Fiji</t>
  </si>
  <si>
    <t>Finland</t>
  </si>
  <si>
    <t>France</t>
  </si>
  <si>
    <t>French Guiana</t>
  </si>
  <si>
    <t>French Polynesia</t>
  </si>
  <si>
    <t>French Southern and Antarctic Lands</t>
  </si>
  <si>
    <t>Gabon</t>
  </si>
  <si>
    <t>Gambia, The</t>
  </si>
  <si>
    <t>Gaza Strip</t>
  </si>
  <si>
    <t>Georgia</t>
  </si>
  <si>
    <t>Germany</t>
  </si>
  <si>
    <t>Ghana</t>
  </si>
  <si>
    <t>Gibraltar</t>
  </si>
  <si>
    <t>Glorioso Islands</t>
  </si>
  <si>
    <t>Greece</t>
  </si>
  <si>
    <t>Greenland</t>
  </si>
  <si>
    <t>Grenada</t>
  </si>
  <si>
    <t>Guadeloupe</t>
  </si>
  <si>
    <t>Guam</t>
  </si>
  <si>
    <t>Guatemala</t>
  </si>
  <si>
    <t>Guernsey</t>
  </si>
  <si>
    <t>Guinea</t>
  </si>
  <si>
    <t>Guinea-Bissau</t>
  </si>
  <si>
    <t>Guyana</t>
  </si>
  <si>
    <t>Haiti</t>
  </si>
  <si>
    <t>Heard Island and McDonald Islands</t>
  </si>
  <si>
    <t>Honduras</t>
  </si>
  <si>
    <t>Hong Kong</t>
  </si>
  <si>
    <t>Hungary</t>
  </si>
  <si>
    <t>Iceland</t>
  </si>
  <si>
    <t>India</t>
  </si>
  <si>
    <t>Indonesia</t>
  </si>
  <si>
    <t>Iran</t>
  </si>
  <si>
    <t>Iraq</t>
  </si>
  <si>
    <t>Ireland</t>
  </si>
  <si>
    <t>Isle of Man</t>
  </si>
  <si>
    <t>Israel</t>
  </si>
  <si>
    <t>Italy</t>
  </si>
  <si>
    <t>Jamaica</t>
  </si>
  <si>
    <t>Jan Mayen</t>
  </si>
  <si>
    <t>Japan</t>
  </si>
  <si>
    <t>Jersey</t>
  </si>
  <si>
    <t>Jordan</t>
  </si>
  <si>
    <t>Juan de Nova Island</t>
  </si>
  <si>
    <t>Kazakhstan</t>
  </si>
  <si>
    <t>Kenya</t>
  </si>
  <si>
    <t>Kiribati</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</si>
  <si>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</si>
  <si>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</si>
  <si>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</si>
  <si>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</si>
  <si>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</si>
  <si>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</si>
  <si>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</si>
  <si>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</si>
  <si>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</si>
  <si>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</si>
  <si>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</si>
  <si>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</si>
  <si>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</si>
  <si>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</si>
  <si>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</si>
  <si>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</si>
  <si>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</si>
  <si>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</si>
  <si>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</si>
  <si>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</si>
  <si>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</si>
  <si>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</si>
  <si>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</si>
  <si>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</si>
  <si>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</si>
  <si>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</si>
  <si>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</si>
  <si>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</si>
  <si>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</si>
  <si>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</si>
  <si>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Montserrat</t>
  </si>
  <si>
    <t>Morocco</t>
  </si>
  <si>
    <t>Mozambique</t>
  </si>
  <si>
    <t>Myanmar</t>
  </si>
  <si>
    <t>Namibia</t>
  </si>
  <si>
    <t>Nauru</t>
  </si>
  <si>
    <t>Navassa Island</t>
  </si>
  <si>
    <t>Nepal</t>
  </si>
  <si>
    <t>Netherlands</t>
  </si>
  <si>
    <t>Netherlands Antilles</t>
  </si>
  <si>
    <t>New Caledonia</t>
  </si>
  <si>
    <t>New Zealand</t>
  </si>
  <si>
    <t>Nicaragua</t>
  </si>
  <si>
    <t>Niger</t>
  </si>
  <si>
    <t>Nigeria</t>
  </si>
  <si>
    <t>Niue</t>
  </si>
  <si>
    <t>Norfolk Island</t>
  </si>
  <si>
    <t>North Korea</t>
  </si>
  <si>
    <t>Northern Mariana Islands</t>
  </si>
  <si>
    <t>Norway</t>
  </si>
  <si>
    <t>Oman</t>
  </si>
  <si>
    <t>Pakistan</t>
  </si>
  <si>
    <t>Palau</t>
  </si>
  <si>
    <t>Palestine</t>
  </si>
  <si>
    <t>Panama</t>
  </si>
  <si>
    <t>Papua New Guinea</t>
  </si>
  <si>
    <t>Paracel Islands</t>
  </si>
  <si>
    <t>Paraguay</t>
  </si>
  <si>
    <t>Peru</t>
  </si>
  <si>
    <t>Philippines</t>
  </si>
  <si>
    <t>Pitcairn Islands</t>
  </si>
  <si>
    <t>Poland</t>
  </si>
  <si>
    <t>Portugal</t>
  </si>
  <si>
    <t>Puerto Rico</t>
  </si>
  <si>
    <t>Qatar</t>
  </si>
  <si>
    <t>Reunion</t>
  </si>
  <si>
    <t>Romania</t>
  </si>
  <si>
    <t>Russia</t>
  </si>
  <si>
    <t>Rwanda</t>
  </si>
  <si>
    <t>Saint Helena</t>
  </si>
  <si>
    <t>Saint Kitts and Nevis</t>
  </si>
  <si>
    <t>Saint Lucia</t>
  </si>
  <si>
    <t>Saint Pierre and Miquelon</t>
  </si>
  <si>
    <t>Saint Vincent and the Grenadines</t>
  </si>
  <si>
    <t>Samoa</t>
  </si>
  <si>
    <t>San Marino</t>
  </si>
  <si>
    <t>Sao Tome and Principe</t>
  </si>
  <si>
    <t>Saudi Arabia</t>
  </si>
  <si>
    <t>Senegal</t>
  </si>
  <si>
    <t>Serbia and Montenegro</t>
  </si>
  <si>
    <t>Seychelles</t>
  </si>
  <si>
    <t>Sierra Leone</t>
  </si>
  <si>
    <t>Singapore</t>
  </si>
  <si>
    <t>Slovakia</t>
  </si>
  <si>
    <t>Slovenia</t>
  </si>
  <si>
    <t>Solomon Islands</t>
  </si>
  <si>
    <t>Somalia</t>
  </si>
  <si>
    <t>South Africa</t>
  </si>
  <si>
    <t>South Georgia and the South Sandwich Islands</t>
  </si>
  <si>
    <t>South Korea</t>
  </si>
  <si>
    <t>Spain</t>
  </si>
  <si>
    <t>Spratly Islands</t>
  </si>
  <si>
    <t>Sri Lanka</t>
  </si>
  <si>
    <t>Sudan</t>
  </si>
  <si>
    <t>Suriname</t>
  </si>
  <si>
    <t>Svalbard</t>
  </si>
  <si>
    <t>Swaziland</t>
  </si>
  <si>
    <t>Sweden</t>
  </si>
  <si>
    <t>Switzerland</t>
  </si>
  <si>
    <t>Syria</t>
  </si>
  <si>
    <t>Taiwan</t>
  </si>
  <si>
    <t>Tajikistan</t>
  </si>
  <si>
    <t>Tanzania</t>
  </si>
  <si>
    <t>Thailand</t>
  </si>
  <si>
    <t>Timor-Leste</t>
  </si>
  <si>
    <t>Togo</t>
  </si>
  <si>
    <t>Tokelau</t>
  </si>
  <si>
    <t>Tonga</t>
  </si>
  <si>
    <t>Trinidad and Tobago</t>
  </si>
  <si>
    <t>Tromelin Island</t>
  </si>
  <si>
    <t>Tunisia</t>
  </si>
  <si>
    <t>Turkey</t>
  </si>
  <si>
    <t>Turkmenistan</t>
  </si>
  <si>
    <t>Turks and Caicos Islands</t>
  </si>
  <si>
    <t>Tuvalu</t>
  </si>
  <si>
    <t>Uganda</t>
  </si>
  <si>
    <t>Ukraine</t>
  </si>
  <si>
    <t>United Arab Emirates</t>
  </si>
  <si>
    <t>United Kingdom</t>
  </si>
  <si>
    <t>United States of America</t>
  </si>
  <si>
    <t>Uruguay</t>
  </si>
  <si>
    <t>Uzbekistan</t>
  </si>
  <si>
    <t>Vanuatu</t>
  </si>
  <si>
    <t>Vatican City</t>
  </si>
  <si>
    <t>Venezuela</t>
  </si>
  <si>
    <t>Vietnam</t>
  </si>
  <si>
    <t>Virgin Islands</t>
  </si>
  <si>
    <t>Wake Island</t>
  </si>
  <si>
    <t>Wallis and Futuna</t>
  </si>
  <si>
    <t>West Bank</t>
  </si>
  <si>
    <t>Western Sahara</t>
  </si>
  <si>
    <t>Yemen</t>
  </si>
  <si>
    <t>Zambia</t>
  </si>
  <si>
    <t>Zimbabwe</t>
  </si>
  <si>
    <t>Not Confidential</t>
  </si>
  <si>
    <t>NDA to be signed</t>
  </si>
  <si>
    <t>NDA already signed</t>
  </si>
  <si>
    <t>ITAR</t>
  </si>
  <si>
    <t>Quantity</t>
  </si>
  <si>
    <t>First year</t>
  </si>
  <si>
    <t>Prototypes</t>
  </si>
  <si>
    <t>Australian Dollar</t>
  </si>
  <si>
    <t>Brazil Real</t>
  </si>
  <si>
    <t>Canadian Dollar</t>
  </si>
  <si>
    <t>Czech Republic Koruna</t>
  </si>
  <si>
    <t>Denmark Krone</t>
  </si>
  <si>
    <t>Euro</t>
  </si>
  <si>
    <t>Franc Suisse</t>
  </si>
  <si>
    <t>Hong Kong Dollar</t>
  </si>
  <si>
    <t>India Rupee</t>
  </si>
  <si>
    <t>Israel Shekel</t>
  </si>
  <si>
    <t>Japan Yen</t>
  </si>
  <si>
    <t>Norway Krone</t>
  </si>
  <si>
    <t>Poland Zloty</t>
  </si>
  <si>
    <t>Pound Sterling</t>
  </si>
  <si>
    <t>Rand</t>
  </si>
  <si>
    <t>Singapore Dollar</t>
  </si>
  <si>
    <t>Sweden Krona</t>
  </si>
  <si>
    <t>US Dollar</t>
  </si>
  <si>
    <t>Chinese Yuan</t>
  </si>
  <si>
    <t>Russian Ruble</t>
  </si>
  <si>
    <t xml:space="preserve">  </t>
  </si>
  <si>
    <t xml:space="preserve">   Lithium Battery Application Questionnaire</t>
  </si>
  <si>
    <t>Project Name / Reference</t>
  </si>
  <si>
    <t>Application:</t>
  </si>
  <si>
    <t xml:space="preserve">Date: </t>
  </si>
  <si>
    <t>Confidentiality:</t>
  </si>
  <si>
    <t>Given Name</t>
  </si>
  <si>
    <t>Family Name</t>
  </si>
  <si>
    <t>Tadiran Representative</t>
  </si>
  <si>
    <t>V</t>
  </si>
  <si>
    <t>Minimum (cut-off)</t>
  </si>
  <si>
    <t xml:space="preserve">Battery type </t>
  </si>
  <si>
    <t>Type of load:</t>
  </si>
  <si>
    <t>Pulse #10</t>
  </si>
  <si>
    <t xml:space="preserve">Pulse #9  </t>
  </si>
  <si>
    <t xml:space="preserve">Pulse #8  </t>
  </si>
  <si>
    <t xml:space="preserve">Pulse #7  </t>
  </si>
  <si>
    <t xml:space="preserve">Pulse #6  </t>
  </si>
  <si>
    <t xml:space="preserve">Pulse #5  </t>
  </si>
  <si>
    <t xml:space="preserve">Pulse #4  </t>
  </si>
  <si>
    <t xml:space="preserve">Pulse #3  </t>
  </si>
  <si>
    <t xml:space="preserve">Pulse #2  </t>
  </si>
  <si>
    <t xml:space="preserve">Pulse #1  </t>
  </si>
  <si>
    <t>Function</t>
  </si>
  <si>
    <t>Comment</t>
  </si>
  <si>
    <t>Average battery discharge rate</t>
  </si>
  <si>
    <r>
      <t>Peak consumption description</t>
    </r>
    <r>
      <rPr>
        <b/>
        <sz val="12"/>
        <color rgb="FFFF0000"/>
        <rFont val="Aptos"/>
        <family val="2"/>
      </rPr>
      <t>*</t>
    </r>
  </si>
  <si>
    <t>Seconds</t>
  </si>
  <si>
    <t>Power</t>
  </si>
  <si>
    <t>Current</t>
  </si>
  <si>
    <t>Duration sec</t>
  </si>
  <si>
    <t>Load mA/mW</t>
  </si>
  <si>
    <t>Frequency, sec</t>
  </si>
  <si>
    <t>Average, µ</t>
  </si>
  <si>
    <t>Total consumption during storage</t>
  </si>
  <si>
    <t>Unit</t>
  </si>
  <si>
    <t>Ah</t>
  </si>
  <si>
    <t>Wh</t>
  </si>
  <si>
    <t>Replaceable Battery</t>
  </si>
  <si>
    <t>Non-Replaceable Battery</t>
  </si>
  <si>
    <t>Mode:</t>
  </si>
  <si>
    <t>Type of use:</t>
  </si>
  <si>
    <t>Battery capacity expected by the customer</t>
  </si>
  <si>
    <t>Electronics Operating Voltage Range:</t>
  </si>
  <si>
    <t>Temperature conditions</t>
  </si>
  <si>
    <t>From</t>
  </si>
  <si>
    <t>till</t>
  </si>
  <si>
    <t>Year:</t>
  </si>
  <si>
    <t>Delivery</t>
  </si>
  <si>
    <t>Applicable standards and certifications</t>
  </si>
  <si>
    <t>Storage before operation</t>
  </si>
  <si>
    <t>Storage outside device</t>
  </si>
  <si>
    <t>°C</t>
  </si>
  <si>
    <t>%</t>
  </si>
  <si>
    <t>Operating Temperature (ON)</t>
  </si>
  <si>
    <t>Typical temperature distribution in operation (percentage of time spent)</t>
  </si>
  <si>
    <t>Background</t>
  </si>
  <si>
    <t>Pulse 1</t>
  </si>
  <si>
    <t>Pulse 2</t>
  </si>
  <si>
    <t>Interval (Frequency)</t>
  </si>
  <si>
    <t xml:space="preserve">Duration </t>
  </si>
  <si>
    <t xml:space="preserve">        Interval Pulse 1</t>
  </si>
  <si>
    <t xml:space="preserve">                   Interval Pulse 2</t>
  </si>
  <si>
    <t>Battery Connection / Finishing requirements</t>
  </si>
  <si>
    <t>Cell Tabbing</t>
  </si>
  <si>
    <t xml:space="preserve">Type / Reference </t>
  </si>
  <si>
    <t xml:space="preserve">Connector </t>
  </si>
  <si>
    <t>JST</t>
  </si>
  <si>
    <t>Molex</t>
  </si>
  <si>
    <t>S</t>
  </si>
  <si>
    <t>P</t>
  </si>
  <si>
    <t>T</t>
  </si>
  <si>
    <t>TP</t>
  </si>
  <si>
    <t>PT</t>
  </si>
  <si>
    <t>PT2</t>
  </si>
  <si>
    <t>dm</t>
  </si>
  <si>
    <t xml:space="preserve">m </t>
  </si>
  <si>
    <t>inch</t>
  </si>
  <si>
    <t>kpcs</t>
  </si>
  <si>
    <t>Autonomy time</t>
  </si>
  <si>
    <t>Backup power source</t>
  </si>
  <si>
    <t>All units can be modified using dropdown picklists</t>
  </si>
  <si>
    <t xml:space="preserve">Expected Battery Operating Life: </t>
  </si>
  <si>
    <r>
      <t>Storage</t>
    </r>
    <r>
      <rPr>
        <b/>
        <sz val="12"/>
        <color theme="1"/>
        <rFont val="Aptos"/>
        <family val="2"/>
      </rPr>
      <t xml:space="preserve"> inside</t>
    </r>
    <r>
      <rPr>
        <sz val="12"/>
        <color theme="1"/>
        <rFont val="Aptos"/>
        <family val="2"/>
      </rPr>
      <t xml:space="preserve"> device (OFF)</t>
    </r>
  </si>
  <si>
    <r>
      <t xml:space="preserve">Storage </t>
    </r>
    <r>
      <rPr>
        <b/>
        <sz val="12"/>
        <color theme="1"/>
        <rFont val="Aptos"/>
        <family val="2"/>
      </rPr>
      <t>outside</t>
    </r>
    <r>
      <rPr>
        <sz val="12"/>
        <color theme="1"/>
        <rFont val="Aptos"/>
        <family val="2"/>
      </rPr>
      <t xml:space="preserve"> device</t>
    </r>
  </si>
  <si>
    <t>yes</t>
  </si>
  <si>
    <t>no</t>
  </si>
  <si>
    <t>Total project quantity</t>
  </si>
  <si>
    <t>quarter</t>
  </si>
  <si>
    <t xml:space="preserve">Type / Chemistry </t>
  </si>
  <si>
    <t>Operating life, cell "B38"</t>
  </si>
  <si>
    <t>Storage inside device (device OFF), cell "O35"</t>
  </si>
  <si>
    <t>Consumption in storage mode inside device</t>
  </si>
  <si>
    <t>Storage inside device (device OFF)</t>
  </si>
  <si>
    <t>Battery charge</t>
  </si>
  <si>
    <t>Battery / device replacement</t>
  </si>
  <si>
    <t>rechargeable battery</t>
  </si>
  <si>
    <t>cell "B63"</t>
  </si>
  <si>
    <t>Consumption in storage mode</t>
  </si>
  <si>
    <t>inside device, cell "O36"</t>
  </si>
  <si>
    <t>Battery's life description example</t>
  </si>
  <si>
    <t xml:space="preserve">Storage outside device, 
cell "E35" </t>
  </si>
  <si>
    <t xml:space="preserve"> Beginning of Life</t>
  </si>
  <si>
    <t xml:space="preserve">End of Life </t>
  </si>
  <si>
    <t xml:space="preserve"> Device is ON</t>
  </si>
  <si>
    <t xml:space="preserve"> Battery installation</t>
  </si>
  <si>
    <t xml:space="preserve"> Battery delivery</t>
  </si>
  <si>
    <t xml:space="preserve"> Primary Battery</t>
  </si>
  <si>
    <t>at battery level (inside battery compartment)</t>
  </si>
  <si>
    <r>
      <t xml:space="preserve">Hot </t>
    </r>
    <r>
      <rPr>
        <sz val="12"/>
        <color rgb="FFC00000"/>
        <rFont val="Aptos"/>
        <family val="2"/>
      </rPr>
      <t>conditions</t>
    </r>
  </si>
  <si>
    <t>Battery must survive hot conditions</t>
  </si>
  <si>
    <t>LAT.001</t>
  </si>
  <si>
    <t>g</t>
  </si>
  <si>
    <t>kg</t>
  </si>
  <si>
    <t>Battery type expected by the customer</t>
  </si>
  <si>
    <t>Soldered on PCB</t>
  </si>
  <si>
    <t>ZIP/Postal Code</t>
  </si>
  <si>
    <t>Market Segment:</t>
  </si>
  <si>
    <t>Market Segment</t>
  </si>
  <si>
    <t>Agriculture &amp; Environment</t>
  </si>
  <si>
    <t>Connected Cities</t>
  </si>
  <si>
    <t>Defense</t>
  </si>
  <si>
    <t>Industrial infrastructure</t>
  </si>
  <si>
    <t>Industrial IoT</t>
  </si>
  <si>
    <t>Industrial vehicles</t>
  </si>
  <si>
    <t>Marine</t>
  </si>
  <si>
    <t>Metering</t>
  </si>
  <si>
    <t>Mining, Cement &amp; Chemical</t>
  </si>
  <si>
    <t>Acceleration sensor</t>
  </si>
  <si>
    <t>Air quality monitoring</t>
  </si>
  <si>
    <t>Automated Underwater vehicle (AUV)</t>
  </si>
  <si>
    <t>Power Grid Monitoring / Transmission / Distribution</t>
  </si>
  <si>
    <t>Rail Freight Sensor</t>
  </si>
  <si>
    <t>Animal tracking</t>
  </si>
  <si>
    <t>Actuator</t>
  </si>
  <si>
    <t>Electronic tollgate Collector</t>
  </si>
  <si>
    <t>Emergency Locator Transmitters (ELTs)</t>
  </si>
  <si>
    <t>Asset tracking</t>
  </si>
  <si>
    <t>Autoclave System</t>
  </si>
  <si>
    <t>Connected valves</t>
  </si>
  <si>
    <t>Gas detection</t>
  </si>
  <si>
    <t>Rail Infrastructure Sensor</t>
  </si>
  <si>
    <t>Dataloggers</t>
  </si>
  <si>
    <t>Humidity monitoring</t>
  </si>
  <si>
    <t>Robots &amp; Remotely Operated Vehicles</t>
  </si>
  <si>
    <t>Emergency Position Indicating Radio Beacon (EPIRBS)</t>
  </si>
  <si>
    <t>Oilfield</t>
  </si>
  <si>
    <t>Isolated worker tracking</t>
  </si>
  <si>
    <t>Flow Meter</t>
  </si>
  <si>
    <t>Presence detection</t>
  </si>
  <si>
    <t>Unmanned Aircraft Systems/Vehicle</t>
  </si>
  <si>
    <t>Seismic Sensor</t>
  </si>
  <si>
    <t>Parking sensor</t>
  </si>
  <si>
    <t>Silo Monitoring</t>
  </si>
  <si>
    <t>Missile</t>
  </si>
  <si>
    <t>Smoke/Fire Detectors</t>
  </si>
  <si>
    <t>Traffic Sensor</t>
  </si>
  <si>
    <t>Heat Meter</t>
  </si>
  <si>
    <t>Soil Monitoring</t>
  </si>
  <si>
    <t>Power Grid Monitoring / Tranmission / Distribution</t>
  </si>
  <si>
    <t>Predictive Maintenance Sensor</t>
  </si>
  <si>
    <t>Temperature Monitoring</t>
  </si>
  <si>
    <t>Water Monitoring</t>
  </si>
  <si>
    <t>Sewer Monitoring</t>
  </si>
  <si>
    <t>Programmable Logic Controller (PLC)</t>
  </si>
  <si>
    <t>Wind Monitoring</t>
  </si>
  <si>
    <t>Waste Sensor</t>
  </si>
  <si>
    <t>Segment</t>
  </si>
  <si>
    <t>Market</t>
  </si>
  <si>
    <t>CSE Agriculture &amp; Environment</t>
  </si>
  <si>
    <t>CSE Air quality monitoring</t>
  </si>
  <si>
    <t>CSE Animal tracking</t>
  </si>
  <si>
    <t>CSE Humidity monitoring</t>
  </si>
  <si>
    <t>CSE Life Analysis Service</t>
  </si>
  <si>
    <t>CSE Meteorology</t>
  </si>
  <si>
    <t>CSE Presence detection</t>
  </si>
  <si>
    <t>CSE Seismic Sensor</t>
  </si>
  <si>
    <t>CSE Silo Monitoring</t>
  </si>
  <si>
    <t>CSE Smoke/Fire Detectors</t>
  </si>
  <si>
    <t>CSE Soil Monitoring</t>
  </si>
  <si>
    <t>CSE Temperature Monitoring</t>
  </si>
  <si>
    <t>CSE Water Monitoring</t>
  </si>
  <si>
    <t>CSE Wind Monitoring</t>
  </si>
  <si>
    <t>CSE Automotive</t>
  </si>
  <si>
    <t>CSE E-Call</t>
  </si>
  <si>
    <t>CSE Electronic tollgate Collector</t>
  </si>
  <si>
    <t>CSE GPS</t>
  </si>
  <si>
    <t>CSE Tire Pressure Monitoring</t>
  </si>
  <si>
    <t>CSE Aviation</t>
  </si>
  <si>
    <t>CSE Emergency Lighting Unit</t>
  </si>
  <si>
    <t>CSE Aerospace &amp; Performances</t>
  </si>
  <si>
    <t>CSE Emergency Locator Transmitters (ELTs)</t>
  </si>
  <si>
    <t>CSE Parachutes</t>
  </si>
  <si>
    <t>CSE Radiocommunications</t>
  </si>
  <si>
    <t>CSE Safety Jackets</t>
  </si>
  <si>
    <t>CSE Simulators</t>
  </si>
  <si>
    <t>CSE Unmanned Aircraft Systems/Vehicle</t>
  </si>
  <si>
    <t>CSE Buildings &amp; Urban Insfrastructure</t>
  </si>
  <si>
    <t>CSE Acceleration sensor</t>
  </si>
  <si>
    <t>CSE Industry</t>
  </si>
  <si>
    <t>CSE Alarms</t>
  </si>
  <si>
    <t>CSE Cash Protection Systems</t>
  </si>
  <si>
    <t>CSE CCTV Surveillance</t>
  </si>
  <si>
    <t>CSE Data Concentrators / Gateways</t>
  </si>
  <si>
    <t>CSE Dataloggers</t>
  </si>
  <si>
    <t>CSE Electronic Safes</t>
  </si>
  <si>
    <t>CSE Gas detection</t>
  </si>
  <si>
    <t>CSE Lamps</t>
  </si>
  <si>
    <t>CSE Payment Terminals</t>
  </si>
  <si>
    <t>CSE Pollution Monitoring</t>
  </si>
  <si>
    <t>CSE Safe Locks</t>
  </si>
  <si>
    <t>CSE Street Lighting</t>
  </si>
  <si>
    <t>CSE Traffic Sensor</t>
  </si>
  <si>
    <t>CSE UPS Backup</t>
  </si>
  <si>
    <t>CSE Connected Cities</t>
  </si>
  <si>
    <t>CSE Parking sensor</t>
  </si>
  <si>
    <t>CSE Power Grid Monitoring / Tranmission / Distribution</t>
  </si>
  <si>
    <t>CSE Sewer Monitoring</t>
  </si>
  <si>
    <t>CSE Waste Sensor</t>
  </si>
  <si>
    <t>CSE Defense</t>
  </si>
  <si>
    <t>CSE Automated Underwater vehicle (AUV)</t>
  </si>
  <si>
    <t>CSE Chemical Agent Detectors</t>
  </si>
  <si>
    <t>CSE Future Soldier Combat Systems</t>
  </si>
  <si>
    <t>CSE Ground Radars</t>
  </si>
  <si>
    <t>CSE Laser</t>
  </si>
  <si>
    <t>CSE Missile</t>
  </si>
  <si>
    <t>CSE Night Vision Googles</t>
  </si>
  <si>
    <t>CSE Police Equipment</t>
  </si>
  <si>
    <t>CSE Robots &amp; Remotely Operated Vehicles</t>
  </si>
  <si>
    <t>CSE Safety Pyrotechnics Devices</t>
  </si>
  <si>
    <t>CSE Grid Management</t>
  </si>
  <si>
    <t>CSE Energy Storage</t>
  </si>
  <si>
    <t>CSE Industrial infrastructure</t>
  </si>
  <si>
    <t>CSE Actuators</t>
  </si>
  <si>
    <t>CSE Power Grid Monitoring / Transmission / Distribution</t>
  </si>
  <si>
    <t>CSE Programmable Logic Controller (PLC)</t>
  </si>
  <si>
    <t>CSE Industrial IoT</t>
  </si>
  <si>
    <t>CSE Asset tracking</t>
  </si>
  <si>
    <t>CSE Connected valves</t>
  </si>
  <si>
    <t>CSE Industrial Robots</t>
  </si>
  <si>
    <t>CSE Isolated worker tracking</t>
  </si>
  <si>
    <t>CSE Predictive Maintenance Sensor</t>
  </si>
  <si>
    <t>CSE Tank Monitoring</t>
  </si>
  <si>
    <t>CSE Industrial vehicles</t>
  </si>
  <si>
    <t>CSE Forklifts</t>
  </si>
  <si>
    <t>CSE Underground Mining Machinery</t>
  </si>
  <si>
    <t>CSE Marine</t>
  </si>
  <si>
    <t>CSE Buoys</t>
  </si>
  <si>
    <t>CSE Emergency Position Indicating Radio Beacon (EPIRBS)</t>
  </si>
  <si>
    <t>CSE Oceanography Equipment</t>
  </si>
  <si>
    <t>CSE Shuttles</t>
  </si>
  <si>
    <t>CSE Medical</t>
  </si>
  <si>
    <t>CSE Autoclave System</t>
  </si>
  <si>
    <t>CSE Automated External Defibrillators</t>
  </si>
  <si>
    <t>CSE E Health Devices</t>
  </si>
  <si>
    <t>CSE Infusion Pumps</t>
  </si>
  <si>
    <t>CSE Medical Carts</t>
  </si>
  <si>
    <t>CSE Respiration &amp; Ventilation</t>
  </si>
  <si>
    <t>CSE Surgery Tools</t>
  </si>
  <si>
    <t>CSE Wheelchairs</t>
  </si>
  <si>
    <t>CSE Metering</t>
  </si>
  <si>
    <t>CSE Communication Modules</t>
  </si>
  <si>
    <t>CSE Flow Meter</t>
  </si>
  <si>
    <t>CSE Electricity Meters</t>
  </si>
  <si>
    <t>CSE Gas Meters</t>
  </si>
  <si>
    <t>CSE Heat Cost Allocators</t>
  </si>
  <si>
    <t>CSE Heat Meter</t>
  </si>
  <si>
    <t>CSE Water Meters</t>
  </si>
  <si>
    <t>CSE Mining, Cement &amp; Chemical</t>
  </si>
  <si>
    <t>CSE Miner Portable Devices</t>
  </si>
  <si>
    <t>CSE Oil &amp; Gas</t>
  </si>
  <si>
    <t>CSE Downhole / Well Instrumentation</t>
  </si>
  <si>
    <t>CSE Oil Drilling Monitoring Sensors (MWD / LWD)</t>
  </si>
  <si>
    <t>CSE Oilfield</t>
  </si>
  <si>
    <t>CSE Pipeline Inspection</t>
  </si>
  <si>
    <t>CSE Well Completion Tool</t>
  </si>
  <si>
    <t>CSE Railway</t>
  </si>
  <si>
    <t>CSE Rail Freight Sensor</t>
  </si>
  <si>
    <t>CSE Rail Infrastructure Sensor</t>
  </si>
  <si>
    <t>CSE Security</t>
  </si>
  <si>
    <t>CSE Firemen Equipment</t>
  </si>
  <si>
    <t>CSE Woodfire Monitoring</t>
  </si>
  <si>
    <t>CSE Space</t>
  </si>
  <si>
    <t>CSE Launchers</t>
  </si>
  <si>
    <t>CSE Probes</t>
  </si>
  <si>
    <t>CSE Satellites</t>
  </si>
  <si>
    <t>CSE Telecom</t>
  </si>
  <si>
    <t>CSE Tracking</t>
  </si>
  <si>
    <t>CSE RFID</t>
  </si>
  <si>
    <t>*If current is not constant during pulse, please specify information about max current and its duration. Please detail if pulses can overlap of go one after another. In case of a complicated profile, please attach a waveform or provide additional information in Section 6.</t>
  </si>
  <si>
    <t>V42IOT Internet of things</t>
  </si>
  <si>
    <t>V61MOB Mobility</t>
  </si>
  <si>
    <t>V43IOT Internet of things</t>
  </si>
  <si>
    <t>V23IND Industry</t>
  </si>
  <si>
    <t>V21IND Industry</t>
  </si>
  <si>
    <t>V45IOT Internet of things</t>
  </si>
  <si>
    <t>V62MOB Mobility</t>
  </si>
  <si>
    <t>V63MOB Mobility</t>
  </si>
  <si>
    <t>V22IND Industry</t>
  </si>
  <si>
    <t>V44IOT Internet of things</t>
  </si>
  <si>
    <t>V24IND Industry</t>
  </si>
  <si>
    <t>V25IND Industry</t>
  </si>
  <si>
    <t>V64MOB Mobility</t>
  </si>
  <si>
    <t>V26IND Industry</t>
  </si>
  <si>
    <t>V41IOT Internet of things</t>
  </si>
  <si>
    <t>Application/project description</t>
  </si>
  <si>
    <t>Opportunity name</t>
  </si>
  <si>
    <t>Customer account</t>
  </si>
  <si>
    <t>Spot Opportunity</t>
  </si>
  <si>
    <t>United States Dollar</t>
  </si>
  <si>
    <t>Salesperson code</t>
  </si>
  <si>
    <t>Destination Country</t>
  </si>
  <si>
    <t>Expected Quantity/year</t>
  </si>
  <si>
    <t>Confidentiality</t>
  </si>
  <si>
    <t>Probability</t>
  </si>
  <si>
    <t>Warm</t>
  </si>
  <si>
    <t>Sales value</t>
  </si>
  <si>
    <t>Battery technology</t>
  </si>
  <si>
    <t>Hybrid Lithium / capacitor</t>
  </si>
  <si>
    <t>Booking date</t>
  </si>
  <si>
    <t>ATEX</t>
  </si>
  <si>
    <t>Last Name</t>
  </si>
  <si>
    <t>Address 1: Country/Region</t>
  </si>
  <si>
    <t>Address 1: City</t>
  </si>
  <si>
    <t>Address 1: State/Province</t>
  </si>
  <si>
    <t>Address 1: ZIP/Postal Code</t>
  </si>
  <si>
    <t>Job Title</t>
  </si>
  <si>
    <t>Address 1: Street 1</t>
  </si>
  <si>
    <t>New Contact Form</t>
  </si>
  <si>
    <t>Business Phone</t>
  </si>
  <si>
    <t>New Opportunity Form</t>
  </si>
  <si>
    <t>End user name</t>
  </si>
  <si>
    <t>Future Business</t>
  </si>
  <si>
    <t>Sales Team</t>
  </si>
  <si>
    <t>Customer reference</t>
  </si>
  <si>
    <t>Customer Need</t>
  </si>
  <si>
    <t>Framework Agreement</t>
  </si>
  <si>
    <t>InterCo Opportunity</t>
  </si>
  <si>
    <t>Reccuring Business</t>
  </si>
  <si>
    <t>Back-up</t>
  </si>
  <si>
    <t>Hot</t>
  </si>
  <si>
    <t>Primary Lithium</t>
  </si>
  <si>
    <t>Secondary Lithium (Li-ion)</t>
  </si>
  <si>
    <t>Notes</t>
  </si>
  <si>
    <t>End User Name - Project reference</t>
  </si>
  <si>
    <t>In</t>
  </si>
  <si>
    <t>Günter REUTZEL</t>
  </si>
  <si>
    <t>Matthias SIEGEL</t>
  </si>
  <si>
    <t>Marc HENN</t>
  </si>
  <si>
    <t>Xavier MALLETON</t>
  </si>
  <si>
    <t>Ralf SAUER</t>
  </si>
  <si>
    <t>Vitaly MILNER</t>
  </si>
  <si>
    <t>Avner AVISSARA</t>
  </si>
  <si>
    <t>Guy PELEG</t>
  </si>
  <si>
    <t>Gary ALLEN</t>
  </si>
  <si>
    <t>Sol JACOBS</t>
  </si>
  <si>
    <t>Louis ADAMS</t>
  </si>
  <si>
    <t>Mike DiDOMENICO</t>
  </si>
  <si>
    <t>Thomas HENEGHAN</t>
  </si>
  <si>
    <t>Shane GRIZZLE</t>
  </si>
  <si>
    <t>Select your name</t>
  </si>
  <si>
    <t>Average yearly quantity</t>
  </si>
  <si>
    <t>Framework agreement (for new quotes)</t>
  </si>
  <si>
    <t>TL, TLH, TLM</t>
  </si>
  <si>
    <t>TLI</t>
  </si>
  <si>
    <t>select from dropdown list</t>
  </si>
  <si>
    <t>select, copy (Ctrl+C) this area and past in CRM Smart paste</t>
  </si>
  <si>
    <t>to be specified</t>
  </si>
  <si>
    <t>months from today (not for samples)</t>
  </si>
  <si>
    <t>to be filled in CRM manually (use Ctrl+C/Ctrl+V) for values in column C</t>
  </si>
  <si>
    <t>One time business</t>
  </si>
  <si>
    <t>Standard for new projects (reccuring expected)</t>
  </si>
  <si>
    <t>Reccuring business</t>
  </si>
  <si>
    <t>Expected Battery Type (per customer)</t>
  </si>
  <si>
    <t>Agent / Distributor Name (if applicable)</t>
  </si>
  <si>
    <t>Fill in End User Name from CRM Database</t>
  </si>
  <si>
    <t>To be filled in CRM manually (use Ctrl+C/Ctrl+V) for values in column C</t>
  </si>
  <si>
    <t>Select</t>
  </si>
  <si>
    <t>Pipeline opportunity (0&lt;p&lt;50%)</t>
  </si>
  <si>
    <r>
      <t>Upside opportunity (50</t>
    </r>
    <r>
      <rPr>
        <sz val="12"/>
        <color theme="0"/>
        <rFont val="Aptos Narrow"/>
        <family val="2"/>
      </rPr>
      <t>≤</t>
    </r>
    <r>
      <rPr>
        <sz val="12"/>
        <color theme="0"/>
        <rFont val="Calibri"/>
        <family val="2"/>
        <charset val="177"/>
        <scheme val="minor"/>
      </rPr>
      <t>p&lt;70%)</t>
    </r>
  </si>
  <si>
    <r>
      <t>Committed opportunity (70≤p</t>
    </r>
    <r>
      <rPr>
        <sz val="12"/>
        <color theme="0"/>
        <rFont val="Aptos Narrow"/>
        <family val="2"/>
      </rPr>
      <t>≤</t>
    </r>
    <r>
      <rPr>
        <sz val="12"/>
        <color theme="0"/>
        <rFont val="Calibri"/>
        <family val="2"/>
        <charset val="177"/>
        <scheme val="minor"/>
      </rPr>
      <t>100%)</t>
    </r>
  </si>
  <si>
    <t>CSE Tadiran Israel</t>
  </si>
  <si>
    <t>CSE Tadiran Europe</t>
  </si>
  <si>
    <t>CSE Tadiran US</t>
  </si>
  <si>
    <t>State</t>
  </si>
  <si>
    <r>
      <t xml:space="preserve">Total </t>
    </r>
    <r>
      <rPr>
        <b/>
        <sz val="12"/>
        <color theme="1"/>
        <rFont val="Aptos"/>
        <family val="2"/>
      </rPr>
      <t>net</t>
    </r>
    <r>
      <rPr>
        <sz val="12"/>
        <color theme="1"/>
        <rFont val="Aptos"/>
        <family val="2"/>
      </rPr>
      <t xml:space="preserve"> required capacity</t>
    </r>
  </si>
  <si>
    <t>Annual Quantity</t>
  </si>
  <si>
    <t>From year:</t>
  </si>
  <si>
    <t>Average cond.</t>
  </si>
  <si>
    <t>C.7b</t>
  </si>
  <si>
    <t>TLP, TL + HLC or capacitor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</si>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</sst>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2"/>
      <color theme="1"/>
      <name val="Calibri"/>
      <family val="2"/>
      <charset val="177"/>
      <scheme val="minor"/>
    </font>
    <font>
      <sz val="11"/>
      <color theme="1"/>
      <name val="Calibri"/>
      <family val="2"/>
      <scheme val="minor"/>
    </font>
    <font>
      <u/>
      <sz val="12"/>
      <color theme="10"/>
      <name val="Calibri"/>
      <family val="2"/>
      <charset val="177"/>
      <scheme val="minor"/>
    </font>
    <font>
      <sz val="8"/>
      <name val="Calibri"/>
      <family val="2"/>
      <charset val="177"/>
      <scheme val="minor"/>
    </font>
    <font>
      <b/>
      <sz val="22"/>
      <color theme="0"/>
      <name val="Calibri"/>
      <family val="2"/>
      <scheme val="minor"/>
    </font>
    <font>
      <b/>
      <sz val="22"/>
      <color rgb="FF000066"/>
      <name val="Aptos"/>
      <family val="2"/>
    </font>
    <font>
      <b/>
      <sz val="12"/>
      <color theme="1"/>
      <name val="Aptos"/>
      <family val="2"/>
    </font>
    <font>
      <sz val="12"/>
      <color theme="1"/>
      <name val="Aptos"/>
      <family val="2"/>
    </font>
    <font>
      <u/>
      <sz val="12"/>
      <color theme="8" tint="-0.499984740745262"/>
      <name val="Aptos"/>
      <family val="2"/>
    </font>
    <font>
      <b/>
      <sz val="24"/>
      <color rgb="FF000066"/>
      <name val="Aptos"/>
      <family val="2"/>
    </font>
    <font>
      <b/>
      <sz val="14"/>
      <color theme="1"/>
      <name val="Aptos"/>
      <family val="2"/>
    </font>
    <font>
      <b/>
      <sz val="16"/>
      <color rgb="FF002060"/>
      <name val="Aptos"/>
      <family val="2"/>
    </font>
    <font>
      <b/>
      <sz val="24"/>
      <color rgb="FF002060"/>
      <name val="Aptos"/>
      <family val="2"/>
    </font>
    <font>
      <b/>
      <sz val="11"/>
      <color rgb="FFFF0000"/>
      <name val="Aptos"/>
      <family val="2"/>
    </font>
    <font>
      <b/>
      <sz val="12"/>
      <color rgb="FFFF0000"/>
      <name val="Aptos"/>
      <family val="2"/>
    </font>
    <font>
      <sz val="12"/>
      <color rgb="FFFF0000"/>
      <name val="Calibri"/>
      <family val="2"/>
      <charset val="177"/>
      <scheme val="minor"/>
    </font>
    <font>
      <b/>
      <sz val="12"/>
      <color rgb="FFFF0000"/>
      <name val="Calibri"/>
      <family val="2"/>
      <scheme val="minor"/>
    </font>
    <font>
      <sz val="12"/>
      <color theme="1"/>
      <name val="Calibri"/>
      <family val="2"/>
      <charset val="177"/>
      <scheme val="minor"/>
    </font>
    <font>
      <sz val="12"/>
      <color theme="0"/>
      <name val="Calibri"/>
      <family val="2"/>
      <charset val="177"/>
      <scheme val="minor"/>
    </font>
    <font>
      <sz val="12"/>
      <color theme="0"/>
      <name val="Arial"/>
      <family val="2"/>
    </font>
    <font>
      <sz val="14"/>
      <color theme="1"/>
      <name val="Calibri"/>
      <family val="2"/>
      <charset val="177"/>
      <scheme val="minor"/>
    </font>
    <font>
      <sz val="9"/>
      <name val="Aptos"/>
      <family val="2"/>
    </font>
    <font>
      <sz val="9"/>
      <color theme="1"/>
      <name val="Aptos"/>
      <family val="2"/>
    </font>
    <font>
      <b/>
      <sz val="14"/>
      <color theme="0"/>
      <name val="Aptos"/>
      <family val="2"/>
    </font>
    <font>
      <sz val="12"/>
      <color rgb="FFC00000"/>
      <name val="Aptos"/>
      <family val="2"/>
    </font>
    <font>
      <b/>
      <sz val="12"/>
      <color rgb="FFC00000"/>
      <name val="Aptos"/>
      <family val="2"/>
    </font>
    <font>
      <b/>
      <sz val="18"/>
      <color theme="1"/>
      <name val="Aptos"/>
      <family val="2"/>
    </font>
    <font>
      <sz val="10"/>
      <color theme="6"/>
      <name val="Calibri"/>
      <family val="2"/>
      <charset val="177"/>
      <scheme val="minor"/>
    </font>
    <font>
      <b/>
      <sz val="11"/>
      <name val="Aptos"/>
      <family val="2"/>
    </font>
    <font>
      <sz val="12"/>
      <color rgb="FFFF0000"/>
      <name val="Aptos"/>
      <family val="2"/>
    </font>
    <font>
      <sz val="11"/>
      <color theme="1"/>
      <name val="Aptos"/>
      <family val="2"/>
    </font>
    <font>
      <sz val="12"/>
      <color theme="0"/>
      <name val="Aptos Narrow"/>
      <family val="2"/>
    </font>
    <font>
      <sz val="12"/>
      <name val="Aptos"/>
      <family val="2"/>
    </font>
  </fonts>
  <fills count="12">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4"/>
        <bgColor indexed="64"/>
      </patternFill>
    </fill>
    <fill>
      <patternFill patternType="solid">
        <fgColor theme="0"/>
        <bgColor indexed="64"/>
      </patternFill>
    </fill>
    <fill>
      <patternFill patternType="solid">
        <fgColor rgb="FF00006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s>
  <borders count="1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indexed="64"/>
      </right>
      <top/>
      <bottom style="thin">
        <color indexed="64"/>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ck">
        <color rgb="FF0070C0"/>
      </right>
      <top style="thin">
        <color theme="0"/>
      </top>
      <bottom style="thin">
        <color theme="0"/>
      </bottom>
      <diagonal/>
    </border>
    <border>
      <left style="thick">
        <color rgb="FF0070C0"/>
      </left>
      <right style="thick">
        <color rgb="FF0070C0"/>
      </right>
      <top style="thick">
        <color rgb="FF0070C0"/>
      </top>
      <bottom style="thin">
        <color theme="0"/>
      </bottom>
      <diagonal/>
    </border>
    <border>
      <left style="thick">
        <color rgb="FF0070C0"/>
      </left>
      <right style="thick">
        <color rgb="FF0070C0"/>
      </right>
      <top style="thin">
        <color theme="0"/>
      </top>
      <bottom style="thick">
        <color rgb="FF0070C0"/>
      </bottom>
      <diagonal/>
    </border>
    <border>
      <left style="thin">
        <color theme="0"/>
      </left>
      <right style="thin">
        <color theme="0"/>
      </right>
      <top style="thin">
        <color theme="0"/>
      </top>
      <bottom style="thick">
        <color rgb="FF0070C0"/>
      </bottom>
      <diagonal/>
    </border>
    <border>
      <left style="thick">
        <color rgb="FF0070C0"/>
      </left>
      <right style="thick">
        <color rgb="FF0070C0"/>
      </right>
      <top style="thin">
        <color theme="0"/>
      </top>
      <bottom style="thin">
        <color theme="0"/>
      </bottom>
      <diagonal/>
    </border>
    <border>
      <left/>
      <right style="thick">
        <color rgb="FF0070C0"/>
      </right>
      <top style="thin">
        <color theme="0"/>
      </top>
      <bottom style="thin">
        <color theme="0"/>
      </bottom>
      <diagonal/>
    </border>
    <border>
      <left style="thin">
        <color theme="0"/>
      </left>
      <right style="thick">
        <color rgb="FF0070C0"/>
      </right>
      <top style="thin">
        <color theme="0"/>
      </top>
      <bottom style="thick">
        <color rgb="FF0070C0"/>
      </bottom>
      <diagonal/>
    </border>
    <border>
      <left style="thin">
        <color theme="0"/>
      </left>
      <right/>
      <top style="thin">
        <color theme="0"/>
      </top>
      <bottom style="thin">
        <color theme="0"/>
      </bottom>
      <diagonal/>
    </border>
    <border>
      <left style="thin">
        <color theme="0"/>
      </left>
      <right style="thin">
        <color theme="0"/>
      </right>
      <top style="thin">
        <color theme="0"/>
      </top>
      <bottom style="mediumDashed">
        <color rgb="FF0070C0"/>
      </bottom>
      <diagonal/>
    </border>
    <border>
      <left/>
      <right style="mediumDashed">
        <color rgb="FF0070C0"/>
      </right>
      <top/>
      <bottom/>
      <diagonal/>
    </border>
    <border>
      <left style="thick">
        <color rgb="FF0070C0"/>
      </left>
      <right/>
      <top/>
      <bottom/>
      <diagonal/>
    </border>
    <border>
      <left/>
      <right/>
      <top style="thick">
        <color rgb="FF0070C0"/>
      </top>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ck">
        <color rgb="FF0070C0"/>
      </right>
      <top style="thin">
        <color theme="0"/>
      </top>
      <bottom/>
      <diagonal/>
    </border>
    <border>
      <left/>
      <right style="thin">
        <color theme="0"/>
      </right>
      <top/>
      <bottom/>
      <diagonal/>
    </border>
    <border>
      <left/>
      <right/>
      <top/>
      <bottom style="thin">
        <color theme="0"/>
      </bottom>
      <diagonal/>
    </border>
    <border>
      <left style="thick">
        <color theme="0"/>
      </left>
      <right style="thick">
        <color theme="0"/>
      </right>
      <top style="thick">
        <color theme="0"/>
      </top>
      <bottom style="thick">
        <color theme="0"/>
      </bottom>
      <diagonal/>
    </border>
    <border>
      <left style="thin">
        <color theme="0"/>
      </left>
      <right style="mediumDashed">
        <color rgb="FF0070C0"/>
      </right>
      <top style="thin">
        <color theme="0"/>
      </top>
      <bottom style="thin">
        <color theme="0"/>
      </bottom>
      <diagonal/>
    </border>
    <border>
      <left style="thick">
        <color theme="0"/>
      </left>
      <right style="thick">
        <color theme="0"/>
      </right>
      <top style="thick">
        <color theme="0"/>
      </top>
      <bottom/>
      <diagonal/>
    </border>
    <border>
      <left style="mediumDashed">
        <color rgb="FF0070C0"/>
      </left>
      <right style="thin">
        <color theme="0"/>
      </right>
      <top style="thin">
        <color theme="0"/>
      </top>
      <bottom style="thin">
        <color theme="0"/>
      </bottom>
      <diagonal/>
    </border>
    <border>
      <left/>
      <right style="mediumDashed">
        <color rgb="FF0070C0"/>
      </right>
      <top style="thin">
        <color theme="0"/>
      </top>
      <bottom style="thin">
        <color theme="0"/>
      </bottom>
      <diagonal/>
    </border>
    <border>
      <left style="thick">
        <color rgb="FF0070C0"/>
      </left>
      <right style="thin">
        <color theme="0"/>
      </right>
      <top style="thin">
        <color theme="0"/>
      </top>
      <bottom style="thin">
        <color theme="0"/>
      </bottom>
      <diagonal/>
    </border>
    <border>
      <left style="mediumDashed">
        <color rgb="FF0070C0"/>
      </left>
      <right style="thin">
        <color theme="0"/>
      </right>
      <top/>
      <bottom style="thin">
        <color theme="0"/>
      </bottom>
      <diagonal/>
    </border>
    <border>
      <left style="thin">
        <color theme="0"/>
      </left>
      <right style="mediumDashed">
        <color rgb="FF0070C0"/>
      </right>
      <top/>
      <bottom style="thin">
        <color theme="0"/>
      </bottom>
      <diagonal/>
    </border>
    <border>
      <left style="thin">
        <color theme="0"/>
      </left>
      <right style="thick">
        <color rgb="FF0070C0"/>
      </right>
      <top/>
      <bottom style="thin">
        <color theme="0"/>
      </bottom>
      <diagonal/>
    </border>
    <border>
      <left/>
      <right style="thin">
        <color theme="0"/>
      </right>
      <top style="thin">
        <color theme="0"/>
      </top>
      <bottom style="thick">
        <color rgb="FF0070C0"/>
      </bottom>
      <diagonal/>
    </border>
    <border>
      <left style="thick">
        <color rgb="FF0070C0"/>
      </left>
      <right style="thin">
        <color theme="0"/>
      </right>
      <top/>
      <bottom style="thin">
        <color theme="0"/>
      </bottom>
      <diagonal/>
    </border>
    <border>
      <left style="thin">
        <color theme="0"/>
      </left>
      <right style="thin">
        <color theme="0"/>
      </right>
      <top style="thick">
        <color rgb="FF0070C0"/>
      </top>
      <bottom style="thin">
        <color theme="0"/>
      </bottom>
      <diagonal/>
    </border>
    <border>
      <left style="thick">
        <color rgb="FF0070C0"/>
      </left>
      <right style="thin">
        <color theme="0"/>
      </right>
      <top style="thick">
        <color rgb="FF0070C0"/>
      </top>
      <bottom style="mediumDashed">
        <color rgb="FF0070C0"/>
      </bottom>
      <diagonal/>
    </border>
    <border>
      <left style="thin">
        <color theme="0"/>
      </left>
      <right style="thin">
        <color theme="0"/>
      </right>
      <top style="thick">
        <color rgb="FF0070C0"/>
      </top>
      <bottom style="mediumDashed">
        <color rgb="FF0070C0"/>
      </bottom>
      <diagonal/>
    </border>
    <border>
      <left style="mediumDashed">
        <color rgb="FF0070C0"/>
      </left>
      <right style="thin">
        <color theme="0"/>
      </right>
      <top style="thin">
        <color theme="0"/>
      </top>
      <bottom style="mediumDashed">
        <color rgb="FF0070C0"/>
      </bottom>
      <diagonal/>
    </border>
    <border>
      <left style="thin">
        <color theme="0"/>
      </left>
      <right style="mediumDashed">
        <color rgb="FF0070C0"/>
      </right>
      <top style="thin">
        <color theme="0"/>
      </top>
      <bottom style="mediumDashed">
        <color rgb="FF0070C0"/>
      </bottom>
      <diagonal/>
    </border>
    <border>
      <left style="thin">
        <color theme="0"/>
      </left>
      <right style="thick">
        <color rgb="FF0070C0"/>
      </right>
      <top style="thick">
        <color rgb="FF0070C0"/>
      </top>
      <bottom style="mediumDashed">
        <color rgb="FF0070C0"/>
      </bottom>
      <diagonal/>
    </border>
    <border>
      <left style="mediumDashed">
        <color rgb="FF0070C0"/>
      </left>
      <right style="mediumDashed">
        <color theme="0"/>
      </right>
      <top style="mediumDashed">
        <color rgb="FF0070C0"/>
      </top>
      <bottom style="thin">
        <color theme="0"/>
      </bottom>
      <diagonal/>
    </border>
    <border>
      <left style="mediumDashed">
        <color rgb="FF0070C0"/>
      </left>
      <right style="thin">
        <color theme="0"/>
      </right>
      <top style="thin">
        <color theme="0"/>
      </top>
      <bottom style="medium">
        <color theme="6"/>
      </bottom>
      <diagonal/>
    </border>
    <border>
      <left style="thin">
        <color theme="0"/>
      </left>
      <right style="thick">
        <color rgb="FF0070C0"/>
      </right>
      <top style="thin">
        <color theme="0"/>
      </top>
      <bottom style="medium">
        <color theme="6"/>
      </bottom>
      <diagonal/>
    </border>
    <border>
      <left/>
      <right style="mediumDashed">
        <color rgb="FF0070C0"/>
      </right>
      <top style="thin">
        <color theme="0"/>
      </top>
      <bottom style="medium">
        <color theme="6"/>
      </bottom>
      <diagonal/>
    </border>
    <border>
      <left style="thick">
        <color rgb="FF0070C0"/>
      </left>
      <right style="thin">
        <color theme="0"/>
      </right>
      <top style="thin">
        <color theme="0"/>
      </top>
      <bottom style="medium">
        <color theme="6"/>
      </bottom>
      <diagonal/>
    </border>
    <border>
      <left/>
      <right style="thin">
        <color theme="0"/>
      </right>
      <top style="thin">
        <color theme="0"/>
      </top>
      <bottom style="medium">
        <color theme="6"/>
      </bottom>
      <diagonal/>
    </border>
    <border>
      <left style="thin">
        <color theme="0"/>
      </left>
      <right/>
      <top style="thin">
        <color theme="0"/>
      </top>
      <bottom style="medium">
        <color theme="6"/>
      </bottom>
      <diagonal/>
    </border>
    <border>
      <left style="thin">
        <color theme="0"/>
      </left>
      <right style="mediumDashed">
        <color rgb="FF0070C0"/>
      </right>
      <top style="thin">
        <color theme="0"/>
      </top>
      <bottom style="medium">
        <color theme="6"/>
      </bottom>
      <diagonal/>
    </border>
    <border>
      <left/>
      <right/>
      <top style="medium">
        <color theme="6"/>
      </top>
      <bottom/>
      <diagonal/>
    </border>
    <border>
      <left style="thin">
        <color theme="0"/>
      </left>
      <right/>
      <top style="thick">
        <color rgb="FF0070C0"/>
      </top>
      <bottom/>
      <diagonal/>
    </border>
    <border>
      <left style="mediumDashed">
        <color rgb="FF0070C0"/>
      </left>
      <right/>
      <top style="thin">
        <color theme="0"/>
      </top>
      <bottom style="mediumDashed">
        <color rgb="FF0070C0"/>
      </bottom>
      <diagonal/>
    </border>
    <border>
      <left/>
      <right style="mediumDashed">
        <color rgb="FF0070C0"/>
      </right>
      <top style="thin">
        <color theme="0"/>
      </top>
      <bottom style="mediumDashed">
        <color rgb="FF0070C0"/>
      </bottom>
      <diagonal/>
    </border>
    <border>
      <left style="thin">
        <color theme="0"/>
      </left>
      <right/>
      <top style="thin">
        <color theme="0"/>
      </top>
      <bottom style="mediumDashed">
        <color theme="6"/>
      </bottom>
      <diagonal/>
    </border>
    <border>
      <left style="thin">
        <color theme="0"/>
      </left>
      <right style="thin">
        <color theme="0"/>
      </right>
      <top style="thin">
        <color theme="0"/>
      </top>
      <bottom style="mediumDashed">
        <color theme="6"/>
      </bottom>
      <diagonal/>
    </border>
    <border>
      <left/>
      <right style="thin">
        <color theme="0"/>
      </right>
      <top style="thin">
        <color theme="0"/>
      </top>
      <bottom style="mediumDashed">
        <color theme="6"/>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style="thick">
        <color theme="1"/>
      </right>
      <top/>
      <bottom/>
      <diagonal/>
    </border>
    <border>
      <left style="thick">
        <color theme="1"/>
      </left>
      <right/>
      <top/>
      <bottom style="thick">
        <color theme="1"/>
      </bottom>
      <diagonal/>
    </border>
    <border>
      <left style="thin">
        <color theme="1"/>
      </left>
      <right style="thick">
        <color theme="1"/>
      </right>
      <top/>
      <bottom/>
      <diagonal/>
    </border>
    <border>
      <left style="thin">
        <color theme="1"/>
      </left>
      <right style="thick">
        <color theme="1"/>
      </right>
      <top/>
      <bottom style="thick">
        <color theme="1"/>
      </bottom>
      <diagonal/>
    </border>
    <border>
      <left/>
      <right/>
      <top/>
      <bottom style="thick">
        <color theme="1"/>
      </bottom>
      <diagonal/>
    </border>
    <border>
      <left/>
      <right style="thick">
        <color theme="1"/>
      </right>
      <top/>
      <bottom style="thick">
        <color theme="1"/>
      </bottom>
      <diagonal/>
    </border>
    <border>
      <left/>
      <right style="thick">
        <color theme="1"/>
      </right>
      <top/>
      <bottom style="medium">
        <color indexed="64"/>
      </bottom>
      <diagonal/>
    </border>
    <border>
      <left/>
      <right style="thick">
        <color rgb="FF00B050"/>
      </right>
      <top/>
      <bottom/>
      <diagonal/>
    </border>
    <border>
      <left style="thick">
        <color theme="1"/>
      </left>
      <right/>
      <top style="thick">
        <color theme="1"/>
      </top>
      <bottom style="thick">
        <color rgb="FF00B050"/>
      </bottom>
      <diagonal/>
    </border>
    <border>
      <left/>
      <right style="medium">
        <color indexed="64"/>
      </right>
      <top style="thick">
        <color theme="1"/>
      </top>
      <bottom style="thick">
        <color rgb="FF00B050"/>
      </bottom>
      <diagonal/>
    </border>
    <border>
      <left style="thin">
        <color theme="1"/>
      </left>
      <right style="thick">
        <color rgb="FF00B050"/>
      </right>
      <top style="thick">
        <color rgb="FF00B050"/>
      </top>
      <bottom/>
      <diagonal/>
    </border>
    <border>
      <left style="thin">
        <color theme="1"/>
      </left>
      <right style="thick">
        <color rgb="FF00B050"/>
      </right>
      <top/>
      <bottom/>
      <diagonal/>
    </border>
    <border>
      <left style="thick">
        <color rgb="FF00B050"/>
      </left>
      <right/>
      <top/>
      <bottom style="thick">
        <color rgb="FF00B050"/>
      </bottom>
      <diagonal/>
    </border>
    <border>
      <left style="thin">
        <color theme="1"/>
      </left>
      <right style="thick">
        <color rgb="FF00B050"/>
      </right>
      <top/>
      <bottom style="thick">
        <color rgb="FF00B050"/>
      </bottom>
      <diagonal/>
    </border>
    <border>
      <left style="thick">
        <color rgb="FF00B050"/>
      </left>
      <right style="thick">
        <color rgb="FF00B050"/>
      </right>
      <top style="thick">
        <color rgb="FF00B050"/>
      </top>
      <bottom style="thick">
        <color rgb="FF00B050"/>
      </bottom>
      <diagonal/>
    </border>
    <border>
      <left style="thick">
        <color rgb="FF00B050"/>
      </left>
      <right/>
      <top style="thick">
        <color rgb="FF00B050"/>
      </top>
      <bottom/>
      <diagonal/>
    </border>
    <border>
      <left style="thin">
        <color indexed="64"/>
      </left>
      <right style="thick">
        <color rgb="FF00B050"/>
      </right>
      <top style="thick">
        <color rgb="FF00B050"/>
      </top>
      <bottom/>
      <diagonal/>
    </border>
    <border>
      <left style="thick">
        <color rgb="FF00B050"/>
      </left>
      <right/>
      <top/>
      <bottom/>
      <diagonal/>
    </border>
    <border>
      <left style="thin">
        <color indexed="64"/>
      </left>
      <right style="thick">
        <color rgb="FF00B050"/>
      </right>
      <top/>
      <bottom/>
      <diagonal/>
    </border>
    <border>
      <left style="thin">
        <color indexed="64"/>
      </left>
      <right style="thick">
        <color rgb="FF00B050"/>
      </right>
      <top/>
      <bottom style="thick">
        <color rgb="FF00B050"/>
      </bottom>
      <diagonal/>
    </border>
    <border>
      <left/>
      <right style="thick">
        <color indexed="64"/>
      </right>
      <top/>
      <bottom/>
      <diagonal/>
    </border>
    <border>
      <left style="thick">
        <color indexed="64"/>
      </left>
      <right/>
      <top style="thick">
        <color indexed="64"/>
      </top>
      <bottom style="thick">
        <color rgb="FF00B050"/>
      </bottom>
      <diagonal/>
    </border>
    <border>
      <left style="thick">
        <color indexed="64"/>
      </left>
      <right/>
      <top/>
      <bottom/>
      <diagonal/>
    </border>
    <border>
      <left/>
      <right/>
      <top style="thick">
        <color indexed="64"/>
      </top>
      <bottom style="thick">
        <color rgb="FF00B050"/>
      </bottom>
      <diagonal/>
    </border>
    <border>
      <left style="thick">
        <color indexed="64"/>
      </left>
      <right/>
      <top/>
      <bottom style="thick">
        <color indexed="64"/>
      </bottom>
      <diagonal/>
    </border>
    <border>
      <left/>
      <right/>
      <top/>
      <bottom style="thick">
        <color indexed="64"/>
      </bottom>
      <diagonal/>
    </border>
    <border>
      <left/>
      <right style="thick">
        <color theme="1"/>
      </right>
      <top/>
      <bottom style="thick">
        <color indexed="64"/>
      </bottom>
      <diagonal/>
    </border>
    <border>
      <left style="thick">
        <color rgb="FF00B050"/>
      </left>
      <right/>
      <top/>
      <bottom style="thick">
        <color indexed="64"/>
      </bottom>
      <diagonal/>
    </border>
  </borders>
  <cellStyleXfs count="4">
    <xf numFmtId="0" fontId="0" fillId="0" borderId="0"/>
    <xf numFmtId="0" fontId="2" fillId="0" borderId="0" applyNumberFormat="0" applyFill="0" applyBorder="0" applyAlignment="0" applyProtection="0"/>
    <xf numFmtId="0" fontId="1" fillId="0" borderId="0"/>
    <xf numFmtId="9" fontId="17" fillId="0" borderId="0" applyFont="0" applyFill="0" applyBorder="0" applyAlignment="0" applyProtection="0"/>
  </cellStyleXfs>
  <cellXfs count="293">
    <xf numFmtId="0" fontId="0" fillId="0" borderId="0" xfId="0"/>
    <xf numFmtId="0" fontId="0" fillId="0" borderId="0" xfId="0" applyAlignment="1">
      <alignment horizontal="left" vertical="top" wrapText="1"/>
    </xf>
    <xf numFmtId="0" fontId="0" fillId="0" borderId="6" xfId="0" applyBorder="1"/>
    <xf numFmtId="0" fontId="0" fillId="0" borderId="0" xfId="0" applyAlignment="1">
      <alignment vertical="top" wrapText="1"/>
    </xf>
    <xf numFmtId="0" fontId="0" fillId="6" borderId="0" xfId="0" applyFill="1"/>
    <xf numFmtId="0" fontId="7" fillId="0" borderId="0" xfId="0" applyFont="1"/>
    <xf numFmtId="0" fontId="7" fillId="0" borderId="0" xfId="0" applyFont="1" applyAlignment="1">
      <alignment horizontal="right"/>
    </xf>
    <xf numFmtId="0" fontId="7" fillId="0" borderId="0" xfId="0" applyFont="1" applyAlignment="1">
      <alignment horizontal="center"/>
    </xf>
    <xf numFmtId="0" fontId="7" fillId="2" borderId="1" xfId="0" applyFont="1" applyFill="1" applyBorder="1" applyProtection="1">
      <protection locked="0"/>
    </xf>
    <xf numFmtId="0" fontId="7" fillId="0" borderId="6" xfId="0" applyFont="1" applyBorder="1"/>
    <xf numFmtId="0" fontId="7" fillId="4" borderId="0" xfId="0" applyFont="1" applyFill="1" applyProtection="1">
      <protection locked="0"/>
    </xf>
    <xf numFmtId="0" fontId="7" fillId="2" borderId="13" xfId="0" applyFont="1" applyFill="1" applyBorder="1" applyProtection="1">
      <protection locked="0"/>
    </xf>
    <xf numFmtId="0" fontId="7" fillId="4" borderId="13" xfId="0" applyFont="1" applyFill="1" applyBorder="1" applyProtection="1">
      <protection locked="0"/>
    </xf>
    <xf numFmtId="0" fontId="7" fillId="0" borderId="0" xfId="0" applyFont="1" applyAlignment="1">
      <alignment horizontal="left"/>
    </xf>
    <xf numFmtId="0" fontId="6" fillId="0" borderId="0" xfId="0" applyFont="1"/>
    <xf numFmtId="0" fontId="7" fillId="4" borderId="1" xfId="0" applyFont="1" applyFill="1" applyBorder="1" applyProtection="1">
      <protection locked="0"/>
    </xf>
    <xf numFmtId="0" fontId="8" fillId="0" borderId="0" xfId="1" applyFont="1" applyAlignment="1" applyProtection="1">
      <alignment readingOrder="1"/>
    </xf>
    <xf numFmtId="0" fontId="8" fillId="0" borderId="0" xfId="1" applyFont="1" applyProtection="1"/>
    <xf numFmtId="0" fontId="5" fillId="0" borderId="0" xfId="0" applyFont="1" applyAlignment="1">
      <alignment vertical="center"/>
    </xf>
    <xf numFmtId="0" fontId="9" fillId="0" borderId="0" xfId="0" applyFont="1" applyAlignment="1">
      <alignment vertical="center"/>
    </xf>
    <xf numFmtId="0" fontId="11" fillId="0" borderId="6" xfId="0" applyFont="1" applyBorder="1"/>
    <xf numFmtId="0" fontId="13" fillId="0" borderId="0" xfId="0" applyFont="1" applyAlignment="1">
      <alignment horizontal="left" wrapText="1"/>
    </xf>
    <xf numFmtId="49" fontId="0" fillId="0" borderId="0" xfId="0" applyNumberFormat="1"/>
    <xf numFmtId="1" fontId="7" fillId="0" borderId="13" xfId="0" applyNumberFormat="1" applyFont="1" applyBorder="1" applyAlignment="1">
      <alignment horizontal="right"/>
    </xf>
    <xf numFmtId="164" fontId="7" fillId="0" borderId="13" xfId="0" applyNumberFormat="1" applyFont="1" applyBorder="1" applyAlignment="1">
      <alignment horizontal="right"/>
    </xf>
    <xf numFmtId="0" fontId="15" fillId="0" borderId="0" xfId="0" applyFont="1" applyAlignment="1">
      <alignment horizontal="center"/>
    </xf>
    <xf numFmtId="0" fontId="16" fillId="0" borderId="0" xfId="0" applyFont="1" applyAlignment="1">
      <alignment horizontal="left"/>
    </xf>
    <xf numFmtId="0" fontId="7" fillId="0" borderId="12" xfId="0" applyFont="1" applyBorder="1" applyAlignment="1">
      <alignment horizontal="right"/>
    </xf>
    <xf numFmtId="0" fontId="0" fillId="0" borderId="36" xfId="0" applyBorder="1"/>
    <xf numFmtId="0" fontId="14" fillId="0" borderId="0" xfId="0" applyFont="1"/>
    <xf numFmtId="0" fontId="18" fillId="0" borderId="0" xfId="0" applyFont="1"/>
    <xf numFmtId="0" fontId="19" fillId="5" borderId="0" xfId="0" applyFont="1" applyFill="1" applyAlignment="1">
      <alignment vertical="center"/>
    </xf>
    <xf numFmtId="0" fontId="7" fillId="0" borderId="13" xfId="0" applyFont="1" applyBorder="1"/>
    <xf numFmtId="9" fontId="7" fillId="3" borderId="13" xfId="3" applyFont="1" applyFill="1" applyBorder="1" applyProtection="1">
      <protection locked="0"/>
    </xf>
    <xf numFmtId="0" fontId="0" fillId="0" borderId="0" xfId="0" applyAlignment="1">
      <alignment horizontal="center"/>
    </xf>
    <xf numFmtId="0" fontId="0" fillId="0" borderId="38" xfId="0" applyBorder="1"/>
    <xf numFmtId="0" fontId="0" fillId="0" borderId="39" xfId="0" applyBorder="1"/>
    <xf numFmtId="0" fontId="0" fillId="0" borderId="40" xfId="0" applyBorder="1"/>
    <xf numFmtId="0" fontId="0" fillId="0" borderId="41" xfId="0" applyBorder="1"/>
    <xf numFmtId="0" fontId="0" fillId="0" borderId="42" xfId="0" applyBorder="1"/>
    <xf numFmtId="0" fontId="0" fillId="0" borderId="43" xfId="0" applyBorder="1"/>
    <xf numFmtId="0" fontId="0" fillId="0" borderId="44" xfId="0" applyBorder="1"/>
    <xf numFmtId="0" fontId="0" fillId="0" borderId="45" xfId="0" applyBorder="1"/>
    <xf numFmtId="0" fontId="0" fillId="0" borderId="38" xfId="0" applyBorder="1" applyAlignment="1">
      <alignment horizontal="right"/>
    </xf>
    <xf numFmtId="0" fontId="0" fillId="0" borderId="36" xfId="0" applyBorder="1" applyAlignment="1">
      <alignment horizontal="right"/>
    </xf>
    <xf numFmtId="0" fontId="0" fillId="0" borderId="36" xfId="0" applyBorder="1" applyAlignment="1">
      <alignment horizontal="center"/>
    </xf>
    <xf numFmtId="0" fontId="0" fillId="0" borderId="46" xfId="0" applyBorder="1" applyAlignment="1">
      <alignment horizontal="right"/>
    </xf>
    <xf numFmtId="0" fontId="20" fillId="0" borderId="36" xfId="0" applyFont="1" applyBorder="1" applyAlignment="1">
      <alignment horizontal="center"/>
    </xf>
    <xf numFmtId="0" fontId="20" fillId="0" borderId="36" xfId="0" applyFont="1" applyBorder="1"/>
    <xf numFmtId="0" fontId="20" fillId="0" borderId="41" xfId="0" applyFont="1" applyBorder="1"/>
    <xf numFmtId="0" fontId="20" fillId="0" borderId="44" xfId="0" applyFont="1" applyBorder="1"/>
    <xf numFmtId="0" fontId="20" fillId="0" borderId="43" xfId="0" applyFont="1" applyBorder="1"/>
    <xf numFmtId="0" fontId="20" fillId="0" borderId="47" xfId="0" applyFont="1" applyBorder="1"/>
    <xf numFmtId="0" fontId="20" fillId="0" borderId="40" xfId="0" applyFont="1" applyBorder="1"/>
    <xf numFmtId="0" fontId="20" fillId="0" borderId="48" xfId="0" applyFont="1" applyBorder="1" applyAlignment="1">
      <alignment horizontal="center"/>
    </xf>
    <xf numFmtId="0" fontId="20" fillId="0" borderId="46" xfId="0" applyFont="1" applyBorder="1"/>
    <xf numFmtId="0" fontId="20" fillId="0" borderId="38" xfId="0" applyFont="1" applyBorder="1"/>
    <xf numFmtId="0" fontId="14" fillId="0" borderId="0" xfId="0" applyFont="1" applyAlignment="1">
      <alignment horizontal="right"/>
    </xf>
    <xf numFmtId="0" fontId="7" fillId="4" borderId="1" xfId="0" applyFont="1" applyFill="1" applyBorder="1" applyAlignment="1" applyProtection="1">
      <alignment horizontal="center"/>
      <protection locked="0"/>
    </xf>
    <xf numFmtId="0" fontId="7" fillId="2" borderId="1" xfId="0" applyFont="1" applyFill="1" applyBorder="1" applyAlignment="1" applyProtection="1">
      <alignment horizontal="right"/>
      <protection locked="0"/>
    </xf>
    <xf numFmtId="0" fontId="7" fillId="3" borderId="13" xfId="0" applyFont="1" applyFill="1" applyBorder="1" applyProtection="1">
      <protection locked="0"/>
    </xf>
    <xf numFmtId="0" fontId="16" fillId="0" borderId="0" xfId="0" applyFont="1"/>
    <xf numFmtId="0" fontId="7" fillId="0" borderId="0" xfId="0" applyFont="1" applyAlignment="1">
      <alignment horizontal="left" vertical="top" wrapText="1"/>
    </xf>
    <xf numFmtId="0" fontId="7" fillId="0" borderId="37" xfId="0" applyFont="1" applyBorder="1"/>
    <xf numFmtId="0" fontId="7" fillId="0" borderId="49" xfId="0" applyFont="1" applyBorder="1"/>
    <xf numFmtId="0" fontId="7" fillId="0" borderId="52" xfId="0" applyFont="1" applyBorder="1"/>
    <xf numFmtId="0" fontId="7" fillId="0" borderId="38" xfId="0" applyFont="1" applyBorder="1"/>
    <xf numFmtId="0" fontId="7" fillId="0" borderId="53" xfId="0" applyFont="1" applyBorder="1"/>
    <xf numFmtId="0" fontId="7" fillId="0" borderId="39" xfId="0" applyFont="1" applyBorder="1"/>
    <xf numFmtId="0" fontId="7" fillId="0" borderId="36" xfId="0" applyFont="1" applyBorder="1"/>
    <xf numFmtId="0" fontId="7" fillId="0" borderId="47" xfId="0" applyFont="1" applyBorder="1"/>
    <xf numFmtId="0" fontId="7" fillId="0" borderId="54" xfId="0" applyFont="1" applyBorder="1"/>
    <xf numFmtId="0" fontId="7" fillId="0" borderId="55" xfId="0" applyFont="1" applyBorder="1"/>
    <xf numFmtId="0" fontId="26" fillId="0" borderId="36" xfId="0" applyFont="1" applyBorder="1"/>
    <xf numFmtId="0" fontId="7" fillId="0" borderId="40" xfId="0" applyFont="1" applyBorder="1"/>
    <xf numFmtId="0" fontId="7" fillId="0" borderId="57" xfId="0" applyFont="1" applyBorder="1"/>
    <xf numFmtId="0" fontId="7" fillId="0" borderId="60" xfId="0" applyFont="1" applyBorder="1"/>
    <xf numFmtId="0" fontId="7" fillId="0" borderId="61" xfId="0" applyFont="1" applyBorder="1"/>
    <xf numFmtId="0" fontId="26" fillId="0" borderId="56" xfId="0" applyFont="1" applyBorder="1"/>
    <xf numFmtId="0" fontId="7" fillId="0" borderId="62" xfId="0" applyFont="1" applyBorder="1"/>
    <xf numFmtId="0" fontId="7" fillId="0" borderId="63" xfId="0" applyFont="1" applyBorder="1"/>
    <xf numFmtId="0" fontId="7" fillId="0" borderId="64" xfId="0" applyFont="1" applyBorder="1"/>
    <xf numFmtId="0" fontId="7" fillId="0" borderId="66" xfId="0" applyFont="1" applyBorder="1"/>
    <xf numFmtId="0" fontId="7" fillId="0" borderId="67" xfId="0" applyFont="1" applyBorder="1"/>
    <xf numFmtId="0" fontId="7" fillId="0" borderId="68" xfId="0" applyFont="1" applyBorder="1"/>
    <xf numFmtId="0" fontId="7" fillId="0" borderId="43" xfId="0" applyFont="1" applyBorder="1"/>
    <xf numFmtId="0" fontId="7" fillId="0" borderId="69" xfId="0" applyFont="1" applyBorder="1"/>
    <xf numFmtId="0" fontId="7" fillId="0" borderId="46" xfId="0" applyFont="1" applyBorder="1"/>
    <xf numFmtId="0" fontId="7" fillId="0" borderId="70" xfId="0" applyFont="1" applyBorder="1"/>
    <xf numFmtId="0" fontId="7" fillId="0" borderId="43" xfId="0" applyFont="1" applyBorder="1" applyAlignment="1">
      <alignment horizontal="right"/>
    </xf>
    <xf numFmtId="0" fontId="7" fillId="0" borderId="71" xfId="0" applyFont="1" applyBorder="1"/>
    <xf numFmtId="0" fontId="7" fillId="0" borderId="72" xfId="0" applyFont="1" applyBorder="1"/>
    <xf numFmtId="0" fontId="7" fillId="0" borderId="73" xfId="0" applyFont="1" applyBorder="1"/>
    <xf numFmtId="0" fontId="7" fillId="0" borderId="74" xfId="0" applyFont="1" applyBorder="1"/>
    <xf numFmtId="0" fontId="7" fillId="0" borderId="48" xfId="0" applyFont="1" applyBorder="1"/>
    <xf numFmtId="0" fontId="7" fillId="0" borderId="75" xfId="0" applyFont="1" applyBorder="1"/>
    <xf numFmtId="0" fontId="7" fillId="0" borderId="76" xfId="0" applyFont="1" applyBorder="1"/>
    <xf numFmtId="0" fontId="7" fillId="0" borderId="77" xfId="0" applyFont="1" applyBorder="1"/>
    <xf numFmtId="0" fontId="7" fillId="0" borderId="78" xfId="0" applyFont="1" applyBorder="1"/>
    <xf numFmtId="0" fontId="7" fillId="0" borderId="79" xfId="0" applyFont="1" applyBorder="1"/>
    <xf numFmtId="0" fontId="7" fillId="0" borderId="80" xfId="0" applyFont="1" applyBorder="1"/>
    <xf numFmtId="0" fontId="7" fillId="0" borderId="81" xfId="0" applyFont="1" applyBorder="1"/>
    <xf numFmtId="0" fontId="7" fillId="0" borderId="82" xfId="0" applyFont="1" applyBorder="1"/>
    <xf numFmtId="0" fontId="7" fillId="0" borderId="83" xfId="0" applyFont="1" applyBorder="1"/>
    <xf numFmtId="0" fontId="7" fillId="0" borderId="84" xfId="0" applyFont="1" applyBorder="1"/>
    <xf numFmtId="0" fontId="7" fillId="0" borderId="53" xfId="0" applyFont="1" applyBorder="1" applyAlignment="1">
      <alignment horizontal="right"/>
    </xf>
    <xf numFmtId="0" fontId="7" fillId="0" borderId="90" xfId="0" applyFont="1" applyBorder="1"/>
    <xf numFmtId="0" fontId="7" fillId="0" borderId="89" xfId="0" applyFont="1" applyBorder="1"/>
    <xf numFmtId="0" fontId="7" fillId="0" borderId="91" xfId="0" applyFont="1" applyBorder="1"/>
    <xf numFmtId="1" fontId="7" fillId="2" borderId="1" xfId="0" applyNumberFormat="1" applyFont="1" applyFill="1" applyBorder="1" applyProtection="1">
      <protection locked="0"/>
    </xf>
    <xf numFmtId="0" fontId="7" fillId="4" borderId="37" xfId="0" applyFont="1" applyFill="1" applyBorder="1" applyProtection="1">
      <protection locked="0"/>
    </xf>
    <xf numFmtId="0" fontId="27" fillId="0" borderId="0" xfId="0" applyFont="1" applyAlignment="1">
      <alignment horizontal="left" vertical="center"/>
    </xf>
    <xf numFmtId="0" fontId="16" fillId="0" borderId="6" xfId="0" applyFont="1" applyBorder="1" applyAlignment="1">
      <alignment horizontal="right"/>
    </xf>
    <xf numFmtId="0" fontId="18" fillId="0" borderId="0" xfId="0" applyFont="1" applyAlignment="1">
      <alignment vertical="center" wrapText="1"/>
    </xf>
    <xf numFmtId="0" fontId="14" fillId="0" borderId="0" xfId="0" applyFont="1" applyAlignment="1">
      <alignment horizontal="left"/>
    </xf>
    <xf numFmtId="0" fontId="7" fillId="9" borderId="0" xfId="0" applyFont="1" applyFill="1"/>
    <xf numFmtId="0" fontId="0" fillId="0" borderId="95" xfId="0" applyBorder="1"/>
    <xf numFmtId="0" fontId="0" fillId="0" borderId="99" xfId="0" applyBorder="1"/>
    <xf numFmtId="0" fontId="0" fillId="0" borderId="102" xfId="0" applyBorder="1"/>
    <xf numFmtId="0" fontId="7" fillId="2" borderId="0" xfId="0" applyFont="1" applyFill="1"/>
    <xf numFmtId="0" fontId="7" fillId="11" borderId="0" xfId="0" applyFont="1" applyFill="1"/>
    <xf numFmtId="0" fontId="30" fillId="0" borderId="0" xfId="0" applyFont="1"/>
    <xf numFmtId="0" fontId="7" fillId="0" borderId="117" xfId="0" applyFont="1" applyBorder="1"/>
    <xf numFmtId="0" fontId="0" fillId="10" borderId="109" xfId="0" applyFill="1" applyBorder="1"/>
    <xf numFmtId="0" fontId="18" fillId="5" borderId="0" xfId="0" applyFont="1" applyFill="1"/>
    <xf numFmtId="0" fontId="18" fillId="5" borderId="0" xfId="0" quotePrefix="1" applyFont="1" applyFill="1"/>
    <xf numFmtId="0" fontId="18" fillId="5" borderId="36" xfId="0" applyFont="1" applyFill="1" applyBorder="1" applyAlignment="1">
      <alignment horizontal="center" vertical="center" wrapText="1"/>
    </xf>
    <xf numFmtId="0" fontId="18" fillId="5" borderId="36" xfId="0" applyFont="1" applyFill="1" applyBorder="1"/>
    <xf numFmtId="0" fontId="18" fillId="0" borderId="36" xfId="0" applyFont="1" applyBorder="1"/>
    <xf numFmtId="0" fontId="18" fillId="5" borderId="36" xfId="0" applyFont="1" applyFill="1" applyBorder="1" applyAlignment="1">
      <alignment horizontal="center"/>
    </xf>
    <xf numFmtId="0" fontId="0" fillId="0" borderId="120" xfId="0" applyBorder="1" applyProtection="1">
      <protection locked="0"/>
    </xf>
    <xf numFmtId="0" fontId="7" fillId="0" borderId="120" xfId="0" applyFont="1" applyBorder="1" applyProtection="1">
      <protection locked="0"/>
    </xf>
    <xf numFmtId="0" fontId="0" fillId="0" borderId="99" xfId="0" applyBorder="1" applyAlignment="1">
      <alignment horizontal="left" indent="2"/>
    </xf>
    <xf numFmtId="0" fontId="7" fillId="0" borderId="120" xfId="0" applyFont="1" applyBorder="1" applyAlignment="1" applyProtection="1">
      <alignment horizontal="left" indent="2"/>
      <protection locked="0"/>
    </xf>
    <xf numFmtId="0" fontId="7" fillId="0" borderId="0" xfId="0" applyFont="1" applyAlignment="1">
      <alignment horizontal="left" indent="2"/>
    </xf>
    <xf numFmtId="0" fontId="0" fillId="0" borderId="0" xfId="0" applyAlignment="1">
      <alignment horizontal="left" indent="2"/>
    </xf>
    <xf numFmtId="49" fontId="18" fillId="0" borderId="0" xfId="0" applyNumberFormat="1" applyFont="1"/>
    <xf numFmtId="0" fontId="7" fillId="0" borderId="0" xfId="0" applyFont="1" applyAlignment="1" applyProtection="1">
      <alignment horizontal="left" indent="2"/>
      <protection locked="0" hidden="1"/>
    </xf>
    <xf numFmtId="0" fontId="7" fillId="10" borderId="105" xfId="0" applyFont="1" applyFill="1" applyBorder="1" applyAlignment="1" applyProtection="1">
      <alignment horizontal="left"/>
      <protection locked="0" hidden="1"/>
    </xf>
    <xf numFmtId="0" fontId="7" fillId="10" borderId="0" xfId="0" applyFont="1" applyFill="1" applyProtection="1">
      <protection locked="0" hidden="1"/>
    </xf>
    <xf numFmtId="14" fontId="7" fillId="10" borderId="106" xfId="0" applyNumberFormat="1" applyFont="1" applyFill="1" applyBorder="1" applyAlignment="1" applyProtection="1">
      <alignment horizontal="left"/>
      <protection locked="0" hidden="1"/>
    </xf>
    <xf numFmtId="0" fontId="7" fillId="0" borderId="0" xfId="0" applyFont="1" applyAlignment="1" applyProtection="1">
      <alignment horizontal="center"/>
      <protection locked="0" hidden="1"/>
    </xf>
    <xf numFmtId="0" fontId="7" fillId="0" borderId="95" xfId="0" applyFont="1" applyBorder="1" applyProtection="1">
      <protection locked="0" hidden="1"/>
    </xf>
    <xf numFmtId="0" fontId="7" fillId="10" borderId="106" xfId="0" applyFont="1" applyFill="1" applyBorder="1" applyAlignment="1" applyProtection="1">
      <alignment horizontal="left"/>
      <protection locked="0" hidden="1"/>
    </xf>
    <xf numFmtId="0" fontId="7" fillId="10" borderId="106" xfId="0" applyFont="1" applyFill="1" applyBorder="1" applyProtection="1">
      <protection locked="0" hidden="1"/>
    </xf>
    <xf numFmtId="0" fontId="7" fillId="0" borderId="0" xfId="0" applyFont="1" applyAlignment="1" applyProtection="1">
      <alignment horizontal="right" indent="2"/>
      <protection locked="0" hidden="1"/>
    </xf>
    <xf numFmtId="0" fontId="7" fillId="0" borderId="0" xfId="0" applyFont="1" applyAlignment="1" applyProtection="1">
      <alignment horizontal="left"/>
      <protection locked="0" hidden="1"/>
    </xf>
    <xf numFmtId="0" fontId="7" fillId="0" borderId="95" xfId="0" applyFont="1" applyBorder="1" applyAlignment="1" applyProtection="1">
      <alignment horizontal="left"/>
      <protection locked="0" hidden="1"/>
    </xf>
    <xf numFmtId="0" fontId="29" fillId="0" borderId="0" xfId="0" applyFont="1" applyAlignment="1" applyProtection="1">
      <alignment horizontal="left" indent="2"/>
      <protection locked="0" hidden="1"/>
    </xf>
    <xf numFmtId="0" fontId="7" fillId="10" borderId="107" xfId="0" applyFont="1" applyFill="1" applyBorder="1" applyProtection="1">
      <protection locked="0" hidden="1"/>
    </xf>
    <xf numFmtId="0" fontId="7" fillId="10" borderId="108" xfId="0" applyFont="1" applyFill="1" applyBorder="1" applyAlignment="1" applyProtection="1">
      <alignment horizontal="left"/>
      <protection locked="0" hidden="1"/>
    </xf>
    <xf numFmtId="0" fontId="7" fillId="0" borderId="122" xfId="0" applyFont="1" applyBorder="1" applyAlignment="1" applyProtection="1">
      <alignment horizontal="left" indent="2"/>
      <protection locked="0" hidden="1"/>
    </xf>
    <xf numFmtId="0" fontId="7" fillId="0" borderId="120" xfId="0" applyFont="1" applyBorder="1" applyAlignment="1" applyProtection="1">
      <alignment horizontal="left"/>
      <protection locked="0" hidden="1"/>
    </xf>
    <xf numFmtId="0" fontId="7" fillId="0" borderId="121" xfId="0" applyFont="1" applyBorder="1" applyAlignment="1" applyProtection="1">
      <alignment horizontal="left"/>
      <protection locked="0" hidden="1"/>
    </xf>
    <xf numFmtId="0" fontId="7" fillId="9" borderId="0" xfId="0" applyFont="1" applyFill="1" applyProtection="1">
      <protection locked="0" hidden="1"/>
    </xf>
    <xf numFmtId="0" fontId="7" fillId="9" borderId="97" xfId="0" applyFont="1" applyFill="1" applyBorder="1" applyProtection="1">
      <protection locked="0" hidden="1"/>
    </xf>
    <xf numFmtId="0" fontId="0" fillId="0" borderId="0" xfId="0" applyAlignment="1" applyProtection="1">
      <alignment horizontal="left" indent="2"/>
      <protection locked="0" hidden="1"/>
    </xf>
    <xf numFmtId="0" fontId="0" fillId="0" borderId="0" xfId="0" applyProtection="1">
      <protection locked="0" hidden="1"/>
    </xf>
    <xf numFmtId="0" fontId="7" fillId="0" borderId="115" xfId="0" applyFont="1" applyBorder="1" applyAlignment="1" applyProtection="1">
      <alignment horizontal="left"/>
      <protection locked="0" hidden="1"/>
    </xf>
    <xf numFmtId="0" fontId="7" fillId="9" borderId="96" xfId="0" applyFont="1" applyFill="1" applyBorder="1" applyProtection="1">
      <protection locked="0" hidden="1"/>
    </xf>
    <xf numFmtId="0" fontId="32" fillId="9" borderId="98" xfId="0" applyFont="1" applyFill="1" applyBorder="1" applyProtection="1">
      <protection locked="0" hidden="1"/>
    </xf>
    <xf numFmtId="0" fontId="7" fillId="0" borderId="96" xfId="0" applyFont="1" applyBorder="1" applyAlignment="1" applyProtection="1">
      <alignment horizontal="left" indent="2"/>
      <protection locked="0" hidden="1"/>
    </xf>
    <xf numFmtId="0" fontId="7" fillId="0" borderId="99" xfId="0" applyFont="1" applyBorder="1" applyAlignment="1" applyProtection="1">
      <alignment horizontal="left"/>
      <protection locked="0" hidden="1"/>
    </xf>
    <xf numFmtId="0" fontId="7" fillId="0" borderId="100" xfId="0" applyFont="1" applyBorder="1" applyAlignment="1" applyProtection="1">
      <alignment horizontal="left"/>
      <protection locked="0" hidden="1"/>
    </xf>
    <xf numFmtId="0" fontId="7" fillId="10" borderId="110" xfId="0" applyFont="1" applyFill="1" applyBorder="1" applyProtection="1">
      <protection locked="0" hidden="1"/>
    </xf>
    <xf numFmtId="0" fontId="7" fillId="10" borderId="111" xfId="0" applyFont="1" applyFill="1" applyBorder="1" applyProtection="1">
      <protection locked="0" hidden="1"/>
    </xf>
    <xf numFmtId="0" fontId="7" fillId="10" borderId="112" xfId="0" applyFont="1" applyFill="1" applyBorder="1" applyProtection="1">
      <protection locked="0" hidden="1"/>
    </xf>
    <xf numFmtId="0" fontId="7" fillId="10" borderId="113" xfId="0" applyFont="1" applyFill="1" applyBorder="1" applyProtection="1">
      <protection locked="0" hidden="1"/>
    </xf>
    <xf numFmtId="0" fontId="7" fillId="10" borderId="114" xfId="0" applyFont="1" applyFill="1" applyBorder="1" applyAlignment="1" applyProtection="1">
      <alignment horizontal="left"/>
      <protection locked="0" hidden="1"/>
    </xf>
    <xf numFmtId="0" fontId="0" fillId="0" borderId="0" xfId="0" applyAlignment="1" applyProtection="1">
      <alignment vertical="top"/>
      <protection locked="0"/>
    </xf>
    <xf numFmtId="0" fontId="7" fillId="2" borderId="21" xfId="0" applyFont="1" applyFill="1" applyBorder="1" applyAlignment="1" applyProtection="1">
      <alignment horizontal="center"/>
      <protection locked="0"/>
    </xf>
    <xf numFmtId="0" fontId="7" fillId="2" borderId="20"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10" xfId="0" applyFont="1" applyFill="1" applyBorder="1" applyAlignment="1" applyProtection="1">
      <alignment horizontal="center"/>
      <protection locked="0"/>
    </xf>
    <xf numFmtId="0" fontId="7" fillId="0" borderId="13" xfId="0" applyFont="1" applyBorder="1" applyAlignment="1">
      <alignment horizontal="center"/>
    </xf>
    <xf numFmtId="0" fontId="7" fillId="2" borderId="33" xfId="0" applyFont="1" applyFill="1" applyBorder="1" applyAlignment="1" applyProtection="1">
      <alignment horizontal="left"/>
      <protection locked="0"/>
    </xf>
    <xf numFmtId="0" fontId="7" fillId="2" borderId="34" xfId="0" applyFont="1" applyFill="1" applyBorder="1" applyAlignment="1" applyProtection="1">
      <alignment horizontal="left"/>
      <protection locked="0"/>
    </xf>
    <xf numFmtId="0" fontId="7" fillId="2" borderId="35" xfId="0" applyFont="1" applyFill="1" applyBorder="1" applyAlignment="1" applyProtection="1">
      <alignment horizontal="left"/>
      <protection locked="0"/>
    </xf>
    <xf numFmtId="0" fontId="7" fillId="2" borderId="21" xfId="0" applyFont="1" applyFill="1" applyBorder="1" applyAlignment="1" applyProtection="1">
      <alignment horizontal="left"/>
      <protection locked="0"/>
    </xf>
    <xf numFmtId="0" fontId="7" fillId="2" borderId="28" xfId="0" applyFont="1" applyFill="1" applyBorder="1" applyAlignment="1" applyProtection="1">
      <alignment horizontal="left"/>
      <protection locked="0"/>
    </xf>
    <xf numFmtId="0" fontId="7" fillId="2" borderId="20" xfId="0" applyFont="1" applyFill="1" applyBorder="1" applyAlignment="1" applyProtection="1">
      <alignment horizontal="left"/>
      <protection locked="0"/>
    </xf>
    <xf numFmtId="0" fontId="28" fillId="0" borderId="34" xfId="0" applyFont="1" applyBorder="1" applyAlignment="1">
      <alignment horizontal="left" wrapText="1"/>
    </xf>
    <xf numFmtId="0" fontId="7" fillId="2" borderId="28" xfId="0" applyFont="1" applyFill="1" applyBorder="1" applyAlignment="1" applyProtection="1">
      <alignment horizontal="center"/>
      <protection locked="0"/>
    </xf>
    <xf numFmtId="0" fontId="7" fillId="2" borderId="8" xfId="0" applyFont="1" applyFill="1" applyBorder="1" applyAlignment="1" applyProtection="1">
      <alignment horizontal="center" vertical="top" wrapText="1"/>
      <protection locked="0"/>
    </xf>
    <xf numFmtId="0" fontId="7" fillId="2" borderId="9"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7" fillId="4" borderId="8" xfId="0" applyFont="1" applyFill="1" applyBorder="1" applyAlignment="1" applyProtection="1">
      <alignment horizontal="center"/>
      <protection locked="0"/>
    </xf>
    <xf numFmtId="0" fontId="7" fillId="4" borderId="9" xfId="0" applyFont="1" applyFill="1" applyBorder="1" applyAlignment="1" applyProtection="1">
      <alignment horizontal="center"/>
      <protection locked="0"/>
    </xf>
    <xf numFmtId="0" fontId="7" fillId="4" borderId="10" xfId="0" applyFont="1" applyFill="1" applyBorder="1" applyAlignment="1" applyProtection="1">
      <alignment horizontal="center"/>
      <protection locked="0"/>
    </xf>
    <xf numFmtId="0" fontId="7" fillId="0" borderId="21" xfId="0" applyFont="1" applyBorder="1" applyAlignment="1">
      <alignment horizontal="center"/>
    </xf>
    <xf numFmtId="0" fontId="7" fillId="0" borderId="20" xfId="0" applyFont="1" applyBorder="1" applyAlignment="1">
      <alignment horizontal="center"/>
    </xf>
    <xf numFmtId="0" fontId="7" fillId="2" borderId="8" xfId="0" applyFont="1" applyFill="1" applyBorder="1" applyAlignment="1" applyProtection="1">
      <alignment horizontal="center"/>
      <protection locked="0"/>
    </xf>
    <xf numFmtId="0" fontId="7" fillId="2" borderId="10" xfId="0" applyFont="1" applyFill="1" applyBorder="1" applyAlignment="1" applyProtection="1">
      <alignment horizontal="center"/>
      <protection locked="0"/>
    </xf>
    <xf numFmtId="49" fontId="7" fillId="2" borderId="8" xfId="0" applyNumberFormat="1" applyFont="1" applyFill="1" applyBorder="1" applyAlignment="1" applyProtection="1">
      <alignment horizontal="center"/>
      <protection locked="0"/>
    </xf>
    <xf numFmtId="49" fontId="7" fillId="2" borderId="9" xfId="0" applyNumberFormat="1" applyFont="1" applyFill="1" applyBorder="1" applyAlignment="1" applyProtection="1">
      <alignment horizontal="center"/>
      <protection locked="0"/>
    </xf>
    <xf numFmtId="49" fontId="7" fillId="2" borderId="10" xfId="0" applyNumberFormat="1" applyFont="1" applyFill="1" applyBorder="1" applyAlignment="1" applyProtection="1">
      <alignment horizontal="center"/>
      <protection locked="0"/>
    </xf>
    <xf numFmtId="0" fontId="21" fillId="0" borderId="0" xfId="0" applyFont="1" applyAlignment="1">
      <alignment horizontal="left" vertical="center" wrapText="1"/>
    </xf>
    <xf numFmtId="0" fontId="22" fillId="0" borderId="0" xfId="0" applyFont="1" applyAlignment="1">
      <alignment horizontal="left" vertical="center" wrapText="1"/>
    </xf>
    <xf numFmtId="0" fontId="4" fillId="6" borderId="0" xfId="0" applyFont="1" applyFill="1" applyAlignment="1">
      <alignment horizontal="center" vertical="center"/>
    </xf>
    <xf numFmtId="0" fontId="7" fillId="2" borderId="9" xfId="0" applyFont="1" applyFill="1" applyBorder="1" applyAlignment="1" applyProtection="1">
      <alignment horizontal="center"/>
      <protection locked="0"/>
    </xf>
    <xf numFmtId="0" fontId="10" fillId="2" borderId="8" xfId="0" applyFont="1" applyFill="1" applyBorder="1" applyAlignment="1" applyProtection="1">
      <alignment horizontal="center"/>
      <protection locked="0"/>
    </xf>
    <xf numFmtId="0" fontId="10" fillId="2" borderId="9" xfId="0" applyFont="1" applyFill="1" applyBorder="1" applyAlignment="1" applyProtection="1">
      <alignment horizontal="center"/>
      <protection locked="0"/>
    </xf>
    <xf numFmtId="0" fontId="10" fillId="2" borderId="10" xfId="0" applyFont="1" applyFill="1" applyBorder="1" applyAlignment="1" applyProtection="1">
      <alignment horizontal="center"/>
      <protection locked="0"/>
    </xf>
    <xf numFmtId="0" fontId="12" fillId="0" borderId="0" xfId="0" applyFont="1" applyAlignment="1">
      <alignment horizontal="center" vertical="center"/>
    </xf>
    <xf numFmtId="14" fontId="7" fillId="2" borderId="8" xfId="0" applyNumberFormat="1" applyFont="1" applyFill="1" applyBorder="1" applyAlignment="1" applyProtection="1">
      <alignment horizontal="center"/>
      <protection locked="0"/>
    </xf>
    <xf numFmtId="14" fontId="7" fillId="2" borderId="10" xfId="0" applyNumberFormat="1" applyFont="1" applyFill="1" applyBorder="1" applyAlignment="1" applyProtection="1">
      <alignment horizontal="center"/>
      <protection locked="0"/>
    </xf>
    <xf numFmtId="0" fontId="7" fillId="0" borderId="12" xfId="0" applyFont="1" applyBorder="1" applyAlignment="1">
      <alignment horizontal="right" vertical="top" wrapText="1"/>
    </xf>
    <xf numFmtId="0" fontId="7" fillId="0" borderId="11" xfId="0" applyFont="1" applyBorder="1" applyAlignment="1">
      <alignment horizontal="right" vertical="top" wrapText="1"/>
    </xf>
    <xf numFmtId="0" fontId="7" fillId="2" borderId="14" xfId="0" applyFont="1" applyFill="1" applyBorder="1" applyAlignment="1" applyProtection="1">
      <alignment horizontal="left" vertical="top" wrapText="1"/>
      <protection locked="0"/>
    </xf>
    <xf numFmtId="0" fontId="7" fillId="2" borderId="25" xfId="0" applyFont="1" applyFill="1" applyBorder="1" applyAlignment="1" applyProtection="1">
      <alignment horizontal="left" vertical="top" wrapText="1"/>
      <protection locked="0"/>
    </xf>
    <xf numFmtId="0" fontId="7" fillId="2" borderId="15" xfId="0" applyFont="1" applyFill="1" applyBorder="1" applyAlignment="1" applyProtection="1">
      <alignment horizontal="left" vertical="top" wrapText="1"/>
      <protection locked="0"/>
    </xf>
    <xf numFmtId="0" fontId="7" fillId="2" borderId="29" xfId="0" applyFont="1" applyFill="1" applyBorder="1" applyAlignment="1" applyProtection="1">
      <alignment horizontal="left" vertical="top" wrapText="1"/>
      <protection locked="0"/>
    </xf>
    <xf numFmtId="0" fontId="7" fillId="2" borderId="16" xfId="0" applyFont="1" applyFill="1" applyBorder="1" applyAlignment="1" applyProtection="1">
      <alignment horizontal="left" vertical="top" wrapText="1"/>
      <protection locked="0"/>
    </xf>
    <xf numFmtId="0" fontId="7" fillId="2" borderId="22" xfId="0" applyFont="1" applyFill="1" applyBorder="1" applyAlignment="1" applyProtection="1">
      <alignment horizontal="left" vertical="top" wrapText="1"/>
      <protection locked="0"/>
    </xf>
    <xf numFmtId="0" fontId="7" fillId="2" borderId="26" xfId="0" applyFont="1" applyFill="1" applyBorder="1" applyAlignment="1" applyProtection="1">
      <alignment horizontal="left" vertical="top" wrapText="1"/>
      <protection locked="0"/>
    </xf>
    <xf numFmtId="0" fontId="7" fillId="2" borderId="23" xfId="0" applyFont="1" applyFill="1" applyBorder="1" applyAlignment="1" applyProtection="1">
      <alignment horizontal="left" vertical="top" wrapText="1"/>
      <protection locked="0"/>
    </xf>
    <xf numFmtId="0" fontId="7" fillId="2" borderId="30" xfId="0" applyFont="1" applyFill="1" applyBorder="1" applyAlignment="1" applyProtection="1">
      <alignment horizontal="left" vertical="top" wrapText="1"/>
      <protection locked="0"/>
    </xf>
    <xf numFmtId="0" fontId="7" fillId="2" borderId="24" xfId="0" applyFont="1" applyFill="1" applyBorder="1" applyAlignment="1" applyProtection="1">
      <alignment horizontal="left" vertical="top" wrapText="1"/>
      <protection locked="0"/>
    </xf>
    <xf numFmtId="0" fontId="7" fillId="2" borderId="17" xfId="0" applyFont="1" applyFill="1" applyBorder="1" applyAlignment="1" applyProtection="1">
      <alignment horizontal="left" vertical="top" wrapText="1"/>
      <protection locked="0"/>
    </xf>
    <xf numFmtId="0" fontId="7" fillId="2" borderId="27" xfId="0" applyFont="1" applyFill="1" applyBorder="1" applyAlignment="1" applyProtection="1">
      <alignment horizontal="left" vertical="top" wrapText="1"/>
      <protection locked="0"/>
    </xf>
    <xf numFmtId="0" fontId="7" fillId="2" borderId="18" xfId="0" applyFont="1" applyFill="1" applyBorder="1" applyAlignment="1" applyProtection="1">
      <alignment horizontal="left" vertical="top" wrapText="1"/>
      <protection locked="0"/>
    </xf>
    <xf numFmtId="0" fontId="7" fillId="2" borderId="31" xfId="0" applyFont="1" applyFill="1" applyBorder="1" applyAlignment="1" applyProtection="1">
      <alignment horizontal="left" vertical="top" wrapText="1"/>
      <protection locked="0"/>
    </xf>
    <xf numFmtId="0" fontId="7" fillId="2" borderId="19" xfId="0" applyFont="1" applyFill="1" applyBorder="1" applyAlignment="1" applyProtection="1">
      <alignment horizontal="left" vertical="top" wrapText="1"/>
      <protection locked="0"/>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12" xfId="0" applyFont="1" applyFill="1" applyBorder="1" applyAlignment="1" applyProtection="1">
      <alignment horizontal="left" vertical="top" wrapText="1"/>
      <protection locked="0"/>
    </xf>
    <xf numFmtId="0" fontId="7" fillId="2" borderId="0" xfId="0" applyFont="1" applyFill="1" applyAlignment="1" applyProtection="1">
      <alignment horizontal="left" vertical="top" wrapText="1"/>
      <protection locked="0"/>
    </xf>
    <xf numFmtId="0" fontId="7" fillId="2" borderId="11" xfId="0" applyFont="1" applyFill="1" applyBorder="1" applyAlignment="1" applyProtection="1">
      <alignment horizontal="left" vertical="top" wrapText="1"/>
      <protection locked="0"/>
    </xf>
    <xf numFmtId="0" fontId="7" fillId="2" borderId="5" xfId="0" applyFont="1" applyFill="1" applyBorder="1" applyAlignment="1" applyProtection="1">
      <alignment horizontal="left" vertical="top" wrapText="1"/>
      <protection locked="0"/>
    </xf>
    <xf numFmtId="0" fontId="7" fillId="2" borderId="6"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0" borderId="0" xfId="0" applyFont="1" applyAlignment="1">
      <alignment horizontal="center"/>
    </xf>
    <xf numFmtId="0" fontId="7" fillId="0" borderId="0" xfId="0" applyFont="1" applyAlignment="1">
      <alignment horizontal="left" vertical="top" wrapText="1"/>
    </xf>
    <xf numFmtId="0" fontId="7" fillId="3" borderId="2" xfId="0" applyFont="1" applyFill="1" applyBorder="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7" fillId="3" borderId="6" xfId="0" applyFont="1" applyFill="1" applyBorder="1" applyAlignment="1" applyProtection="1">
      <alignment horizontal="left" vertical="top" wrapText="1"/>
      <protection locked="0"/>
    </xf>
    <xf numFmtId="0" fontId="7" fillId="3" borderId="7" xfId="0" applyFont="1" applyFill="1" applyBorder="1" applyAlignment="1" applyProtection="1">
      <alignment horizontal="left" vertical="top" wrapText="1"/>
      <protection locked="0"/>
    </xf>
    <xf numFmtId="1" fontId="7" fillId="2" borderId="8" xfId="0" applyNumberFormat="1" applyFont="1" applyFill="1" applyBorder="1" applyAlignment="1" applyProtection="1">
      <alignment horizontal="center"/>
      <protection locked="0"/>
    </xf>
    <xf numFmtId="1" fontId="7" fillId="2" borderId="9" xfId="0" applyNumberFormat="1" applyFont="1" applyFill="1" applyBorder="1" applyAlignment="1" applyProtection="1">
      <alignment horizontal="center"/>
      <protection locked="0"/>
    </xf>
    <xf numFmtId="1" fontId="7" fillId="2" borderId="10" xfId="0" applyNumberFormat="1" applyFont="1" applyFill="1" applyBorder="1" applyAlignment="1" applyProtection="1">
      <alignment horizontal="center"/>
      <protection locked="0"/>
    </xf>
    <xf numFmtId="0" fontId="6" fillId="0" borderId="13" xfId="0" applyFont="1" applyBorder="1" applyAlignment="1">
      <alignment horizontal="center" wrapText="1"/>
    </xf>
    <xf numFmtId="0" fontId="7" fillId="0" borderId="28" xfId="0" applyFont="1" applyBorder="1" applyAlignment="1">
      <alignment horizontal="center"/>
    </xf>
    <xf numFmtId="0" fontId="7" fillId="3" borderId="92" xfId="0" applyFont="1" applyFill="1" applyBorder="1" applyAlignment="1" applyProtection="1">
      <alignment horizontal="center"/>
      <protection locked="0"/>
    </xf>
    <xf numFmtId="0" fontId="7" fillId="3" borderId="93" xfId="0" applyFont="1" applyFill="1" applyBorder="1" applyAlignment="1" applyProtection="1">
      <alignment horizontal="center"/>
      <protection locked="0"/>
    </xf>
    <xf numFmtId="0" fontId="7" fillId="3" borderId="94" xfId="0" applyFont="1" applyFill="1" applyBorder="1" applyAlignment="1" applyProtection="1">
      <alignment horizontal="center"/>
      <protection locked="0"/>
    </xf>
    <xf numFmtId="0" fontId="14" fillId="0" borderId="0" xfId="0" applyFont="1" applyAlignment="1">
      <alignment horizontal="center" wrapText="1"/>
    </xf>
    <xf numFmtId="0" fontId="7" fillId="0" borderId="0" xfId="0" applyFont="1" applyAlignment="1">
      <alignment horizontal="right"/>
    </xf>
    <xf numFmtId="0" fontId="7" fillId="0" borderId="11" xfId="0" applyFont="1" applyBorder="1" applyAlignment="1">
      <alignment horizontal="right"/>
    </xf>
    <xf numFmtId="0" fontId="23" fillId="4" borderId="31" xfId="0" applyFont="1" applyFill="1" applyBorder="1" applyAlignment="1">
      <alignment horizontal="center"/>
    </xf>
    <xf numFmtId="0" fontId="23" fillId="4" borderId="32" xfId="0" applyFont="1" applyFill="1" applyBorder="1" applyAlignment="1">
      <alignment horizontal="center"/>
    </xf>
    <xf numFmtId="0" fontId="23" fillId="4" borderId="27" xfId="0" applyFont="1" applyFill="1" applyBorder="1" applyAlignment="1">
      <alignment horizontal="center"/>
    </xf>
    <xf numFmtId="0" fontId="7" fillId="4" borderId="21" xfId="0" applyFont="1" applyFill="1" applyBorder="1" applyAlignment="1" applyProtection="1">
      <alignment horizontal="center"/>
      <protection locked="0"/>
    </xf>
    <xf numFmtId="0" fontId="7" fillId="4" borderId="28" xfId="0" applyFont="1" applyFill="1" applyBorder="1" applyAlignment="1" applyProtection="1">
      <alignment horizontal="center"/>
      <protection locked="0"/>
    </xf>
    <xf numFmtId="0" fontId="7" fillId="4" borderId="20" xfId="0" applyFont="1" applyFill="1" applyBorder="1" applyAlignment="1" applyProtection="1">
      <alignment horizontal="center"/>
      <protection locked="0"/>
    </xf>
    <xf numFmtId="0" fontId="6" fillId="0" borderId="13" xfId="0" applyFont="1" applyBorder="1" applyAlignment="1">
      <alignment horizontal="center"/>
    </xf>
    <xf numFmtId="0" fontId="25" fillId="0" borderId="13" xfId="0" applyFont="1" applyBorder="1" applyAlignment="1">
      <alignment horizontal="center"/>
    </xf>
    <xf numFmtId="0" fontId="24" fillId="0" borderId="13" xfId="0" applyFont="1" applyBorder="1" applyAlignment="1">
      <alignment horizontal="center"/>
    </xf>
    <xf numFmtId="0" fontId="6" fillId="7" borderId="116" xfId="0" applyFont="1" applyFill="1" applyBorder="1" applyAlignment="1" applyProtection="1">
      <alignment horizontal="center"/>
      <protection hidden="1"/>
    </xf>
    <xf numFmtId="0" fontId="6" fillId="7" borderId="118" xfId="0" applyFont="1" applyFill="1" applyBorder="1" applyAlignment="1" applyProtection="1">
      <alignment horizontal="center"/>
      <protection hidden="1"/>
    </xf>
    <xf numFmtId="0" fontId="6" fillId="8" borderId="103" xfId="0" applyFont="1" applyFill="1" applyBorder="1" applyAlignment="1" applyProtection="1">
      <alignment horizontal="center"/>
      <protection locked="0"/>
    </xf>
    <xf numFmtId="0" fontId="6" fillId="8" borderId="104" xfId="0" applyFont="1" applyFill="1" applyBorder="1" applyAlignment="1" applyProtection="1">
      <alignment horizontal="center"/>
      <protection locked="0"/>
    </xf>
    <xf numFmtId="0" fontId="6" fillId="8" borderId="5" xfId="0" applyFont="1" applyFill="1" applyBorder="1" applyAlignment="1" applyProtection="1">
      <alignment horizontal="center"/>
      <protection locked="0"/>
    </xf>
    <xf numFmtId="0" fontId="6" fillId="8" borderId="6" xfId="0" applyFont="1" applyFill="1" applyBorder="1" applyAlignment="1" applyProtection="1">
      <alignment horizontal="center"/>
      <protection locked="0"/>
    </xf>
    <xf numFmtId="0" fontId="6" fillId="8" borderId="101" xfId="0" applyFont="1" applyFill="1" applyBorder="1" applyAlignment="1" applyProtection="1">
      <alignment horizontal="center"/>
      <protection locked="0"/>
    </xf>
    <xf numFmtId="0" fontId="7" fillId="0" borderId="0" xfId="0" applyFont="1" applyAlignment="1" applyProtection="1">
      <alignment horizontal="left" indent="2"/>
      <protection locked="0" hidden="1"/>
    </xf>
    <xf numFmtId="0" fontId="7" fillId="0" borderId="95" xfId="0" applyFont="1" applyBorder="1" applyAlignment="1" applyProtection="1">
      <alignment horizontal="left" indent="2"/>
      <protection locked="0" hidden="1"/>
    </xf>
    <xf numFmtId="0" fontId="6" fillId="8" borderId="119" xfId="0" applyFont="1" applyFill="1" applyBorder="1" applyAlignment="1" applyProtection="1">
      <alignment horizontal="center"/>
      <protection locked="0" hidden="1"/>
    </xf>
    <xf numFmtId="0" fontId="6" fillId="8" borderId="120" xfId="0" applyFont="1" applyFill="1" applyBorder="1" applyAlignment="1" applyProtection="1">
      <alignment horizontal="center"/>
      <protection locked="0" hidden="1"/>
    </xf>
    <xf numFmtId="0" fontId="6" fillId="8" borderId="121" xfId="0" applyFont="1" applyFill="1" applyBorder="1" applyAlignment="1" applyProtection="1">
      <alignment horizontal="center"/>
      <protection locked="0" hidden="1"/>
    </xf>
    <xf numFmtId="0" fontId="7" fillId="0" borderId="0" xfId="0" applyFont="1" applyAlignment="1" applyProtection="1">
      <alignment horizontal="left"/>
      <protection locked="0" hidden="1"/>
    </xf>
    <xf numFmtId="0" fontId="7" fillId="0" borderId="95" xfId="0" applyFont="1" applyBorder="1" applyAlignment="1" applyProtection="1">
      <alignment horizontal="left"/>
      <protection locked="0" hidden="1"/>
    </xf>
    <xf numFmtId="0" fontId="7" fillId="0" borderId="87" xfId="0" applyFont="1" applyBorder="1" applyAlignment="1">
      <alignment horizontal="center"/>
    </xf>
    <xf numFmtId="0" fontId="7" fillId="0" borderId="88" xfId="0" applyFont="1" applyBorder="1" applyAlignment="1">
      <alignment horizontal="center"/>
    </xf>
    <xf numFmtId="0" fontId="26" fillId="0" borderId="0" xfId="0" applyFont="1" applyAlignment="1">
      <alignment horizontal="center"/>
    </xf>
    <xf numFmtId="0" fontId="26" fillId="0" borderId="58" xfId="0" applyFont="1" applyBorder="1" applyAlignment="1">
      <alignment horizontal="center"/>
    </xf>
    <xf numFmtId="0" fontId="7" fillId="0" borderId="65" xfId="0" applyFont="1" applyBorder="1" applyAlignment="1">
      <alignment horizontal="center"/>
    </xf>
    <xf numFmtId="0" fontId="7" fillId="0" borderId="61" xfId="0" applyFont="1" applyBorder="1" applyAlignment="1">
      <alignment horizontal="center"/>
    </xf>
    <xf numFmtId="0" fontId="7" fillId="0" borderId="50" xfId="0" applyFont="1" applyBorder="1" applyAlignment="1">
      <alignment horizontal="center"/>
    </xf>
    <xf numFmtId="0" fontId="7" fillId="0" borderId="39" xfId="0" applyFont="1" applyBorder="1" applyAlignment="1">
      <alignment horizontal="center"/>
    </xf>
    <xf numFmtId="0" fontId="7" fillId="0" borderId="52" xfId="0" applyFont="1" applyBorder="1" applyAlignment="1">
      <alignment horizontal="center"/>
    </xf>
    <xf numFmtId="0" fontId="7" fillId="0" borderId="38" xfId="0" applyFont="1" applyBorder="1" applyAlignment="1">
      <alignment horizontal="center"/>
    </xf>
    <xf numFmtId="0" fontId="7" fillId="0" borderId="36" xfId="0" applyFont="1" applyBorder="1" applyAlignment="1">
      <alignment horizontal="left" vertical="center"/>
    </xf>
    <xf numFmtId="0" fontId="7" fillId="0" borderId="39" xfId="0" applyFont="1" applyBorder="1" applyAlignment="1">
      <alignment horizontal="center" vertical="center"/>
    </xf>
    <xf numFmtId="0" fontId="7" fillId="0" borderId="36" xfId="0" applyFont="1" applyBorder="1" applyAlignment="1">
      <alignment horizontal="center" vertical="center"/>
    </xf>
    <xf numFmtId="0" fontId="7" fillId="0" borderId="85" xfId="0" applyFont="1" applyBorder="1" applyAlignment="1">
      <alignment horizontal="center" vertical="top" wrapText="1"/>
    </xf>
    <xf numFmtId="0" fontId="7" fillId="0" borderId="59" xfId="0" applyFont="1" applyBorder="1" applyAlignment="1">
      <alignment horizontal="center" vertical="top" wrapText="1"/>
    </xf>
    <xf numFmtId="0" fontId="7" fillId="0" borderId="86" xfId="0" applyFont="1" applyBorder="1" applyAlignment="1">
      <alignment horizontal="center" wrapText="1"/>
    </xf>
    <xf numFmtId="0" fontId="7" fillId="0" borderId="51" xfId="0" applyFont="1" applyBorder="1" applyAlignment="1">
      <alignment horizontal="center" wrapText="1"/>
    </xf>
    <xf numFmtId="0" fontId="7" fillId="0" borderId="53" xfId="0" applyFont="1" applyBorder="1" applyAlignment="1">
      <alignment horizontal="center" wrapText="1"/>
    </xf>
    <xf numFmtId="0" fontId="7" fillId="0" borderId="59" xfId="0" applyFont="1" applyBorder="1" applyAlignment="1">
      <alignment horizontal="center" wrapText="1"/>
    </xf>
  </cellXfs>
  <cellStyles count="4">
    <cellStyle name="Hyperlink" xfId="1" builtinId="8"/>
    <cellStyle name="Normal" xfId="0" builtinId="0"/>
    <cellStyle name="Normal 8" xfId="2" xr:uid="{00000000-0005-0000-0000-000002000000}"/>
    <cellStyle name="Percent" xfId="3" builtinId="5"/>
  </cellStyles>
  <dxfs count="47">
    <dxf>
      <fill>
        <patternFill>
          <bgColor theme="8" tint="0.59996337778862885"/>
        </patternFill>
      </fill>
    </dxf>
    <dxf>
      <fill>
        <patternFill>
          <bgColor theme="8"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ont>
        <color theme="0"/>
      </font>
      <fill>
        <patternFill>
          <fgColor theme="0"/>
          <bgColor theme="0"/>
        </patternFill>
      </fill>
      <border>
        <left/>
        <right/>
        <top/>
        <bottom/>
        <vertical/>
        <horizontal/>
      </border>
    </dxf>
    <dxf>
      <font>
        <color theme="0"/>
      </font>
      <fill>
        <patternFill>
          <bgColor theme="0"/>
        </patternFill>
      </fill>
      <border>
        <left/>
        <right/>
        <top/>
        <bottom/>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theme="0"/>
      </font>
      <fill>
        <patternFill patternType="none">
          <bgColor auto="1"/>
        </patternFill>
      </fill>
      <border>
        <left/>
        <right/>
        <bottom/>
      </border>
    </dxf>
    <dxf>
      <font>
        <color theme="0"/>
      </font>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bgColor theme="0"/>
        </patternFill>
      </fill>
      <border>
        <left/>
        <right/>
        <top/>
        <bottom/>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theme="0"/>
      </font>
      <fill>
        <patternFill>
          <bgColor theme="0"/>
        </patternFill>
      </fill>
      <border>
        <left/>
        <right/>
        <top/>
        <bottom/>
      </border>
    </dxf>
    <dxf>
      <font>
        <color rgb="FFFF0000"/>
      </font>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theme="0"/>
      </font>
      <fill>
        <patternFill>
          <bgColor theme="0"/>
        </patternFill>
      </fill>
      <border>
        <left/>
        <right/>
        <top/>
        <bottom/>
      </border>
    </dxf>
    <dxf>
      <font>
        <color theme="0"/>
      </font>
      <fill>
        <patternFill patternType="none">
          <bgColor auto="1"/>
        </patternFill>
      </fill>
      <border>
        <left/>
        <right/>
        <top/>
        <bottom/>
        <vertical/>
        <horizontal/>
      </border>
    </dxf>
    <dxf>
      <font>
        <color theme="0"/>
      </font>
      <fill>
        <patternFill>
          <fgColor theme="0"/>
          <bgColor theme="0"/>
        </patternFill>
      </fill>
      <border>
        <left/>
        <right/>
        <top/>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fgColor theme="0"/>
          <bgColor theme="0"/>
        </patternFill>
      </fill>
      <border>
        <left/>
        <right/>
        <bottom/>
        <vertical/>
        <horizontal/>
      </border>
    </dxf>
    <dxf>
      <font>
        <color theme="0"/>
      </font>
      <fill>
        <patternFill>
          <bgColor theme="0"/>
        </patternFill>
      </fill>
      <border>
        <left/>
        <right/>
        <top/>
        <bottom/>
      </border>
    </dxf>
  </dxfs>
  <tableStyles count="0" defaultTableStyle="TableStyleMedium2" defaultPivotStyle="PivotStyleLight16"/>
  <colors>
    <mruColors>
      <color rgb="FFFFCCCC"/>
      <color rgb="FFFF9999"/>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628690</xdr:colOff>
      <xdr:row>0</xdr:row>
      <xdr:rowOff>37973</xdr:rowOff>
    </xdr:from>
    <xdr:to>
      <xdr:col>0</xdr:col>
      <xdr:colOff>2498776</xdr:colOff>
      <xdr:row>0</xdr:row>
      <xdr:rowOff>373916</xdr:rowOff>
    </xdr:to>
    <xdr:pic>
      <xdr:nvPicPr>
        <xdr:cNvPr id="3" name="Picture 2">
          <a:extLst>
            <a:ext uri="{FF2B5EF4-FFF2-40B4-BE49-F238E27FC236}">
              <a16:creationId xmlns:a16="http://schemas.microsoft.com/office/drawing/2014/main" id="{42B6EA6D-B648-2557-0C4D-7CA1C902F8B7}"/>
            </a:ext>
          </a:extLst>
        </xdr:cNvPr>
        <xdr:cNvPicPr>
          <a:picLocks noChangeAspect="1"/>
        </xdr:cNvPicPr>
      </xdr:nvPicPr>
      <xdr:blipFill>
        <a:blip xmlns:r="http://schemas.openxmlformats.org/officeDocument/2006/relationships" r:embed="rId1"/>
        <a:stretch>
          <a:fillRect/>
        </a:stretch>
      </xdr:blipFill>
      <xdr:spPr>
        <a:xfrm>
          <a:off x="628690" y="37973"/>
          <a:ext cx="1870086" cy="335943"/>
        </a:xfrm>
        <a:prstGeom prst="rect">
          <a:avLst/>
        </a:prstGeom>
      </xdr:spPr>
    </xdr:pic>
    <xdr:clientData/>
  </xdr:twoCellAnchor>
  <xdr:twoCellAnchor editAs="oneCell">
    <xdr:from>
      <xdr:col>0</xdr:col>
      <xdr:colOff>157567</xdr:colOff>
      <xdr:row>44</xdr:row>
      <xdr:rowOff>72794</xdr:rowOff>
    </xdr:from>
    <xdr:to>
      <xdr:col>0</xdr:col>
      <xdr:colOff>2479427</xdr:colOff>
      <xdr:row>54</xdr:row>
      <xdr:rowOff>57150</xdr:rowOff>
    </xdr:to>
    <xdr:pic>
      <xdr:nvPicPr>
        <xdr:cNvPr id="9" name="Picture 8">
          <a:extLst>
            <a:ext uri="{FF2B5EF4-FFF2-40B4-BE49-F238E27FC236}">
              <a16:creationId xmlns:a16="http://schemas.microsoft.com/office/drawing/2014/main" id="{25FEC160-9AEA-B0C9-B270-65B646275850}"/>
            </a:ext>
          </a:extLst>
        </xdr:cNvPr>
        <xdr:cNvPicPr>
          <a:picLocks noChangeAspect="1"/>
        </xdr:cNvPicPr>
      </xdr:nvPicPr>
      <xdr:blipFill>
        <a:blip xmlns:r="http://schemas.openxmlformats.org/officeDocument/2006/relationships" r:embed="rId2"/>
        <a:stretch>
          <a:fillRect/>
        </a:stretch>
      </xdr:blipFill>
      <xdr:spPr>
        <a:xfrm>
          <a:off x="157567" y="9016769"/>
          <a:ext cx="2321860" cy="19846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119380</xdr:colOff>
      <xdr:row>24</xdr:row>
      <xdr:rowOff>104987</xdr:rowOff>
    </xdr:from>
    <xdr:to>
      <xdr:col>5</xdr:col>
      <xdr:colOff>408965</xdr:colOff>
      <xdr:row>26</xdr:row>
      <xdr:rowOff>53364</xdr:rowOff>
    </xdr:to>
    <xdr:pic>
      <xdr:nvPicPr>
        <xdr:cNvPr id="2" name="Picture 1">
          <a:extLst>
            <a:ext uri="{FF2B5EF4-FFF2-40B4-BE49-F238E27FC236}">
              <a16:creationId xmlns:a16="http://schemas.microsoft.com/office/drawing/2014/main" id="{06733569-C171-C576-BE56-36C4B0393679}"/>
            </a:ext>
          </a:extLst>
        </xdr:cNvPr>
        <xdr:cNvPicPr>
          <a:picLocks noChangeAspect="1"/>
        </xdr:cNvPicPr>
      </xdr:nvPicPr>
      <xdr:blipFill>
        <a:blip xmlns:r="http://schemas.openxmlformats.org/officeDocument/2006/relationships" r:embed="rId1"/>
        <a:stretch>
          <a:fillRect/>
        </a:stretch>
      </xdr:blipFill>
      <xdr:spPr>
        <a:xfrm>
          <a:off x="5470313" y="4727787"/>
          <a:ext cx="289585" cy="2785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2178</xdr:colOff>
      <xdr:row>4</xdr:row>
      <xdr:rowOff>76115</xdr:rowOff>
    </xdr:from>
    <xdr:to>
      <xdr:col>17</xdr:col>
      <xdr:colOff>0</xdr:colOff>
      <xdr:row>4</xdr:row>
      <xdr:rowOff>76115</xdr:rowOff>
    </xdr:to>
    <xdr:cxnSp macro="">
      <xdr:nvCxnSpPr>
        <xdr:cNvPr id="2" name="Straight Arrow Connector 1">
          <a:extLst>
            <a:ext uri="{FF2B5EF4-FFF2-40B4-BE49-F238E27FC236}">
              <a16:creationId xmlns:a16="http://schemas.microsoft.com/office/drawing/2014/main" id="{A5DF401E-1CA1-46AC-811F-7A053083022C}"/>
            </a:ext>
          </a:extLst>
        </xdr:cNvPr>
        <xdr:cNvCxnSpPr/>
      </xdr:nvCxnSpPr>
      <xdr:spPr>
        <a:xfrm>
          <a:off x="4909458" y="1165775"/>
          <a:ext cx="6871062" cy="0"/>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17</xdr:col>
      <xdr:colOff>0</xdr:colOff>
      <xdr:row>4</xdr:row>
      <xdr:rowOff>3685</xdr:rowOff>
    </xdr:from>
    <xdr:to>
      <xdr:col>17</xdr:col>
      <xdr:colOff>4354</xdr:colOff>
      <xdr:row>6</xdr:row>
      <xdr:rowOff>54346</xdr:rowOff>
    </xdr:to>
    <xdr:cxnSp macro="">
      <xdr:nvCxnSpPr>
        <xdr:cNvPr id="3" name="Straight Connector 2">
          <a:extLst>
            <a:ext uri="{FF2B5EF4-FFF2-40B4-BE49-F238E27FC236}">
              <a16:creationId xmlns:a16="http://schemas.microsoft.com/office/drawing/2014/main" id="{5D86F8C2-CC2A-49F4-B764-662209959266}"/>
            </a:ext>
          </a:extLst>
        </xdr:cNvPr>
        <xdr:cNvCxnSpPr/>
      </xdr:nvCxnSpPr>
      <xdr:spPr>
        <a:xfrm>
          <a:off x="11780520" y="1093345"/>
          <a:ext cx="4354" cy="454521"/>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xdr:col>
      <xdr:colOff>660595</xdr:colOff>
      <xdr:row>4</xdr:row>
      <xdr:rowOff>0</xdr:rowOff>
    </xdr:from>
    <xdr:to>
      <xdr:col>6</xdr:col>
      <xdr:colOff>664950</xdr:colOff>
      <xdr:row>6</xdr:row>
      <xdr:rowOff>49991</xdr:rowOff>
    </xdr:to>
    <xdr:cxnSp macro="">
      <xdr:nvCxnSpPr>
        <xdr:cNvPr id="4" name="Straight Connector 3">
          <a:extLst>
            <a:ext uri="{FF2B5EF4-FFF2-40B4-BE49-F238E27FC236}">
              <a16:creationId xmlns:a16="http://schemas.microsoft.com/office/drawing/2014/main" id="{34137D48-6B55-4E91-BA10-82E7F5D01013}"/>
            </a:ext>
          </a:extLst>
        </xdr:cNvPr>
        <xdr:cNvCxnSpPr/>
      </xdr:nvCxnSpPr>
      <xdr:spPr>
        <a:xfrm>
          <a:off x="4897315" y="1089660"/>
          <a:ext cx="4355" cy="453851"/>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5565</xdr:colOff>
      <xdr:row>7</xdr:row>
      <xdr:rowOff>192114</xdr:rowOff>
    </xdr:from>
    <xdr:to>
      <xdr:col>9</xdr:col>
      <xdr:colOff>0</xdr:colOff>
      <xdr:row>8</xdr:row>
      <xdr:rowOff>5</xdr:rowOff>
    </xdr:to>
    <xdr:cxnSp macro="">
      <xdr:nvCxnSpPr>
        <xdr:cNvPr id="5" name="Straight Arrow Connector 4">
          <a:extLst>
            <a:ext uri="{FF2B5EF4-FFF2-40B4-BE49-F238E27FC236}">
              <a16:creationId xmlns:a16="http://schemas.microsoft.com/office/drawing/2014/main" id="{A87C50B2-AEAA-4AB0-8E22-AC40E0517754}"/>
            </a:ext>
          </a:extLst>
        </xdr:cNvPr>
        <xdr:cNvCxnSpPr/>
      </xdr:nvCxnSpPr>
      <xdr:spPr>
        <a:xfrm>
          <a:off x="4912845" y="1898994"/>
          <a:ext cx="1503195" cy="6011"/>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8467</xdr:colOff>
      <xdr:row>12</xdr:row>
      <xdr:rowOff>192193</xdr:rowOff>
    </xdr:from>
    <xdr:to>
      <xdr:col>7</xdr:col>
      <xdr:colOff>10355</xdr:colOff>
      <xdr:row>19</xdr:row>
      <xdr:rowOff>0</xdr:rowOff>
    </xdr:to>
    <xdr:cxnSp macro="">
      <xdr:nvCxnSpPr>
        <xdr:cNvPr id="6" name="Straight Connector 5">
          <a:extLst>
            <a:ext uri="{FF2B5EF4-FFF2-40B4-BE49-F238E27FC236}">
              <a16:creationId xmlns:a16="http://schemas.microsoft.com/office/drawing/2014/main" id="{EA3DB36D-835D-4FF7-B958-8FD53F0C2416}"/>
            </a:ext>
          </a:extLst>
        </xdr:cNvPr>
        <xdr:cNvCxnSpPr/>
      </xdr:nvCxnSpPr>
      <xdr:spPr>
        <a:xfrm flipH="1">
          <a:off x="4915747" y="3285913"/>
          <a:ext cx="1888" cy="1225127"/>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1888</xdr:colOff>
      <xdr:row>16</xdr:row>
      <xdr:rowOff>22860</xdr:rowOff>
    </xdr:from>
    <xdr:to>
      <xdr:col>4</xdr:col>
      <xdr:colOff>8466</xdr:colOff>
      <xdr:row>19</xdr:row>
      <xdr:rowOff>0</xdr:rowOff>
    </xdr:to>
    <xdr:cxnSp macro="">
      <xdr:nvCxnSpPr>
        <xdr:cNvPr id="7" name="Straight Connector 6">
          <a:extLst>
            <a:ext uri="{FF2B5EF4-FFF2-40B4-BE49-F238E27FC236}">
              <a16:creationId xmlns:a16="http://schemas.microsoft.com/office/drawing/2014/main" id="{2EAC5FBF-8EB0-45B2-985F-BF67F21E4070}"/>
            </a:ext>
          </a:extLst>
        </xdr:cNvPr>
        <xdr:cNvCxnSpPr/>
      </xdr:nvCxnSpPr>
      <xdr:spPr>
        <a:xfrm>
          <a:off x="2684128" y="3931920"/>
          <a:ext cx="6578" cy="579120"/>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2178</xdr:colOff>
      <xdr:row>4</xdr:row>
      <xdr:rowOff>76115</xdr:rowOff>
    </xdr:from>
    <xdr:to>
      <xdr:col>17</xdr:col>
      <xdr:colOff>0</xdr:colOff>
      <xdr:row>4</xdr:row>
      <xdr:rowOff>76115</xdr:rowOff>
    </xdr:to>
    <xdr:cxnSp macro="">
      <xdr:nvCxnSpPr>
        <xdr:cNvPr id="9" name="Straight Arrow Connector 8">
          <a:extLst>
            <a:ext uri="{FF2B5EF4-FFF2-40B4-BE49-F238E27FC236}">
              <a16:creationId xmlns:a16="http://schemas.microsoft.com/office/drawing/2014/main" id="{3BF685AB-9138-47E7-9D75-945D90434EE0}"/>
            </a:ext>
          </a:extLst>
        </xdr:cNvPr>
        <xdr:cNvCxnSpPr/>
      </xdr:nvCxnSpPr>
      <xdr:spPr>
        <a:xfrm>
          <a:off x="4909458" y="1165775"/>
          <a:ext cx="6871062" cy="0"/>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17</xdr:col>
      <xdr:colOff>0</xdr:colOff>
      <xdr:row>4</xdr:row>
      <xdr:rowOff>3685</xdr:rowOff>
    </xdr:from>
    <xdr:to>
      <xdr:col>17</xdr:col>
      <xdr:colOff>4354</xdr:colOff>
      <xdr:row>6</xdr:row>
      <xdr:rowOff>54346</xdr:rowOff>
    </xdr:to>
    <xdr:cxnSp macro="">
      <xdr:nvCxnSpPr>
        <xdr:cNvPr id="10" name="Straight Connector 9">
          <a:extLst>
            <a:ext uri="{FF2B5EF4-FFF2-40B4-BE49-F238E27FC236}">
              <a16:creationId xmlns:a16="http://schemas.microsoft.com/office/drawing/2014/main" id="{3523D595-DA97-4259-A170-D3CAB202BD76}"/>
            </a:ext>
          </a:extLst>
        </xdr:cNvPr>
        <xdr:cNvCxnSpPr/>
      </xdr:nvCxnSpPr>
      <xdr:spPr>
        <a:xfrm>
          <a:off x="11780520" y="1093345"/>
          <a:ext cx="4354" cy="454521"/>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xdr:col>
      <xdr:colOff>660595</xdr:colOff>
      <xdr:row>4</xdr:row>
      <xdr:rowOff>0</xdr:rowOff>
    </xdr:from>
    <xdr:to>
      <xdr:col>6</xdr:col>
      <xdr:colOff>664950</xdr:colOff>
      <xdr:row>6</xdr:row>
      <xdr:rowOff>49991</xdr:rowOff>
    </xdr:to>
    <xdr:cxnSp macro="">
      <xdr:nvCxnSpPr>
        <xdr:cNvPr id="11" name="Straight Connector 10">
          <a:extLst>
            <a:ext uri="{FF2B5EF4-FFF2-40B4-BE49-F238E27FC236}">
              <a16:creationId xmlns:a16="http://schemas.microsoft.com/office/drawing/2014/main" id="{B6518D41-7C40-4776-8EA0-8F0114672E2D}"/>
            </a:ext>
          </a:extLst>
        </xdr:cNvPr>
        <xdr:cNvCxnSpPr/>
      </xdr:nvCxnSpPr>
      <xdr:spPr>
        <a:xfrm>
          <a:off x="4897315" y="1089660"/>
          <a:ext cx="4355" cy="453851"/>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5565</xdr:colOff>
      <xdr:row>7</xdr:row>
      <xdr:rowOff>192114</xdr:rowOff>
    </xdr:from>
    <xdr:to>
      <xdr:col>9</xdr:col>
      <xdr:colOff>0</xdr:colOff>
      <xdr:row>8</xdr:row>
      <xdr:rowOff>5</xdr:rowOff>
    </xdr:to>
    <xdr:cxnSp macro="">
      <xdr:nvCxnSpPr>
        <xdr:cNvPr id="12" name="Straight Arrow Connector 11">
          <a:extLst>
            <a:ext uri="{FF2B5EF4-FFF2-40B4-BE49-F238E27FC236}">
              <a16:creationId xmlns:a16="http://schemas.microsoft.com/office/drawing/2014/main" id="{CB7C9F31-6E01-4C03-B6A5-92AA151062E2}"/>
            </a:ext>
          </a:extLst>
        </xdr:cNvPr>
        <xdr:cNvCxnSpPr/>
      </xdr:nvCxnSpPr>
      <xdr:spPr>
        <a:xfrm>
          <a:off x="4912845" y="1898994"/>
          <a:ext cx="1503195" cy="6011"/>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8467</xdr:colOff>
      <xdr:row>12</xdr:row>
      <xdr:rowOff>192193</xdr:rowOff>
    </xdr:from>
    <xdr:to>
      <xdr:col>7</xdr:col>
      <xdr:colOff>10355</xdr:colOff>
      <xdr:row>19</xdr:row>
      <xdr:rowOff>0</xdr:rowOff>
    </xdr:to>
    <xdr:cxnSp macro="">
      <xdr:nvCxnSpPr>
        <xdr:cNvPr id="13" name="Straight Connector 12">
          <a:extLst>
            <a:ext uri="{FF2B5EF4-FFF2-40B4-BE49-F238E27FC236}">
              <a16:creationId xmlns:a16="http://schemas.microsoft.com/office/drawing/2014/main" id="{2436B4F5-7D8B-4D5C-9AA5-CE8846D1B9CE}"/>
            </a:ext>
          </a:extLst>
        </xdr:cNvPr>
        <xdr:cNvCxnSpPr/>
      </xdr:nvCxnSpPr>
      <xdr:spPr>
        <a:xfrm flipH="1">
          <a:off x="4915747" y="3285913"/>
          <a:ext cx="1888" cy="1225127"/>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1888</xdr:colOff>
      <xdr:row>16</xdr:row>
      <xdr:rowOff>22860</xdr:rowOff>
    </xdr:from>
    <xdr:to>
      <xdr:col>4</xdr:col>
      <xdr:colOff>8466</xdr:colOff>
      <xdr:row>19</xdr:row>
      <xdr:rowOff>0</xdr:rowOff>
    </xdr:to>
    <xdr:cxnSp macro="">
      <xdr:nvCxnSpPr>
        <xdr:cNvPr id="14" name="Straight Connector 13">
          <a:extLst>
            <a:ext uri="{FF2B5EF4-FFF2-40B4-BE49-F238E27FC236}">
              <a16:creationId xmlns:a16="http://schemas.microsoft.com/office/drawing/2014/main" id="{2B92B367-18ED-4EA5-B273-EA0226EA7D80}"/>
            </a:ext>
          </a:extLst>
        </xdr:cNvPr>
        <xdr:cNvCxnSpPr/>
      </xdr:nvCxnSpPr>
      <xdr:spPr>
        <a:xfrm>
          <a:off x="2684128" y="3931920"/>
          <a:ext cx="6578" cy="579120"/>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195</xdr:colOff>
      <xdr:row>16</xdr:row>
      <xdr:rowOff>3386</xdr:rowOff>
    </xdr:from>
    <xdr:to>
      <xdr:col>1</xdr:col>
      <xdr:colOff>195</xdr:colOff>
      <xdr:row>19</xdr:row>
      <xdr:rowOff>0</xdr:rowOff>
    </xdr:to>
    <xdr:cxnSp macro="">
      <xdr:nvCxnSpPr>
        <xdr:cNvPr id="15" name="Straight Connector 14">
          <a:extLst>
            <a:ext uri="{FF2B5EF4-FFF2-40B4-BE49-F238E27FC236}">
              <a16:creationId xmlns:a16="http://schemas.microsoft.com/office/drawing/2014/main" id="{2CC90A25-F823-4D0A-933F-22F39F2D7604}"/>
            </a:ext>
          </a:extLst>
        </xdr:cNvPr>
        <xdr:cNvCxnSpPr/>
      </xdr:nvCxnSpPr>
      <xdr:spPr>
        <a:xfrm>
          <a:off x="669062" y="3906519"/>
          <a:ext cx="0" cy="657014"/>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17</xdr:col>
      <xdr:colOff>196</xdr:colOff>
      <xdr:row>15</xdr:row>
      <xdr:rowOff>181187</xdr:rowOff>
    </xdr:from>
    <xdr:to>
      <xdr:col>17</xdr:col>
      <xdr:colOff>196</xdr:colOff>
      <xdr:row>19</xdr:row>
      <xdr:rowOff>0</xdr:rowOff>
    </xdr:to>
    <xdr:cxnSp macro="">
      <xdr:nvCxnSpPr>
        <xdr:cNvPr id="16" name="Straight Connector 15">
          <a:extLst>
            <a:ext uri="{FF2B5EF4-FFF2-40B4-BE49-F238E27FC236}">
              <a16:creationId xmlns:a16="http://schemas.microsoft.com/office/drawing/2014/main" id="{ACF39D1C-0529-4B30-8CDB-AD1AE74CE375}"/>
            </a:ext>
          </a:extLst>
        </xdr:cNvPr>
        <xdr:cNvCxnSpPr/>
      </xdr:nvCxnSpPr>
      <xdr:spPr>
        <a:xfrm>
          <a:off x="11751929" y="3881120"/>
          <a:ext cx="0" cy="682413"/>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xdr:col>
      <xdr:colOff>0</xdr:colOff>
      <xdr:row>48</xdr:row>
      <xdr:rowOff>121924</xdr:rowOff>
    </xdr:from>
    <xdr:to>
      <xdr:col>6</xdr:col>
      <xdr:colOff>402771</xdr:colOff>
      <xdr:row>48</xdr:row>
      <xdr:rowOff>126278</xdr:rowOff>
    </xdr:to>
    <xdr:cxnSp macro="">
      <xdr:nvCxnSpPr>
        <xdr:cNvPr id="19" name="Straight Arrow Connector 18">
          <a:extLst>
            <a:ext uri="{FF2B5EF4-FFF2-40B4-BE49-F238E27FC236}">
              <a16:creationId xmlns:a16="http://schemas.microsoft.com/office/drawing/2014/main" id="{435934D0-B6CE-4AFE-9DD9-2F15ECAEBA96}"/>
            </a:ext>
          </a:extLst>
        </xdr:cNvPr>
        <xdr:cNvCxnSpPr/>
      </xdr:nvCxnSpPr>
      <xdr:spPr>
        <a:xfrm flipV="1">
          <a:off x="9921240" y="2956564"/>
          <a:ext cx="318951" cy="4354"/>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4355</xdr:colOff>
      <xdr:row>54</xdr:row>
      <xdr:rowOff>108858</xdr:rowOff>
    </xdr:from>
    <xdr:to>
      <xdr:col>9</xdr:col>
      <xdr:colOff>275064</xdr:colOff>
      <xdr:row>54</xdr:row>
      <xdr:rowOff>108858</xdr:rowOff>
    </xdr:to>
    <xdr:cxnSp macro="">
      <xdr:nvCxnSpPr>
        <xdr:cNvPr id="20" name="Straight Arrow Connector 19">
          <a:extLst>
            <a:ext uri="{FF2B5EF4-FFF2-40B4-BE49-F238E27FC236}">
              <a16:creationId xmlns:a16="http://schemas.microsoft.com/office/drawing/2014/main" id="{E305E91E-7F8F-4889-A8F4-EC15C34A8285}"/>
            </a:ext>
          </a:extLst>
        </xdr:cNvPr>
        <xdr:cNvCxnSpPr/>
      </xdr:nvCxnSpPr>
      <xdr:spPr>
        <a:xfrm>
          <a:off x="9376955" y="4353198"/>
          <a:ext cx="1756609" cy="0"/>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8709</xdr:colOff>
      <xdr:row>51</xdr:row>
      <xdr:rowOff>134980</xdr:rowOff>
    </xdr:from>
    <xdr:to>
      <xdr:col>4</xdr:col>
      <xdr:colOff>347254</xdr:colOff>
      <xdr:row>51</xdr:row>
      <xdr:rowOff>139335</xdr:rowOff>
    </xdr:to>
    <xdr:cxnSp macro="">
      <xdr:nvCxnSpPr>
        <xdr:cNvPr id="21" name="Straight Arrow Connector 20">
          <a:extLst>
            <a:ext uri="{FF2B5EF4-FFF2-40B4-BE49-F238E27FC236}">
              <a16:creationId xmlns:a16="http://schemas.microsoft.com/office/drawing/2014/main" id="{F1C1DE00-6B3C-4F7A-B31C-DA68ADD91DF0}"/>
            </a:ext>
          </a:extLst>
        </xdr:cNvPr>
        <xdr:cNvCxnSpPr/>
      </xdr:nvCxnSpPr>
      <xdr:spPr>
        <a:xfrm>
          <a:off x="9381309" y="3670660"/>
          <a:ext cx="292825" cy="4355"/>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xdr:col>
      <xdr:colOff>2178</xdr:colOff>
      <xdr:row>56</xdr:row>
      <xdr:rowOff>87083</xdr:rowOff>
    </xdr:from>
    <xdr:to>
      <xdr:col>12</xdr:col>
      <xdr:colOff>21772</xdr:colOff>
      <xdr:row>56</xdr:row>
      <xdr:rowOff>87083</xdr:rowOff>
    </xdr:to>
    <xdr:cxnSp macro="">
      <xdr:nvCxnSpPr>
        <xdr:cNvPr id="22" name="Straight Arrow Connector 21">
          <a:extLst>
            <a:ext uri="{FF2B5EF4-FFF2-40B4-BE49-F238E27FC236}">
              <a16:creationId xmlns:a16="http://schemas.microsoft.com/office/drawing/2014/main" id="{527EFDEA-D197-41AE-A63B-748BA31ECAF9}"/>
            </a:ext>
          </a:extLst>
        </xdr:cNvPr>
        <xdr:cNvCxnSpPr/>
      </xdr:nvCxnSpPr>
      <xdr:spPr>
        <a:xfrm flipV="1">
          <a:off x="9923418" y="4659083"/>
          <a:ext cx="1749334" cy="0"/>
        </a:xfrm>
        <a:prstGeom prst="straightConnector1">
          <a:avLst/>
        </a:prstGeom>
        <a:ln w="19050" cap="flat" cmpd="sng" algn="ctr">
          <a:solidFill>
            <a:schemeClr val="accent2"/>
          </a:solidFill>
          <a:prstDash val="solid"/>
          <a:round/>
          <a:headEnd type="arrow"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4354</xdr:colOff>
      <xdr:row>54</xdr:row>
      <xdr:rowOff>13063</xdr:rowOff>
    </xdr:from>
    <xdr:to>
      <xdr:col>4</xdr:col>
      <xdr:colOff>4354</xdr:colOff>
      <xdr:row>55</xdr:row>
      <xdr:rowOff>21771</xdr:rowOff>
    </xdr:to>
    <xdr:cxnSp macro="">
      <xdr:nvCxnSpPr>
        <xdr:cNvPr id="23" name="Straight Connector 22">
          <a:extLst>
            <a:ext uri="{FF2B5EF4-FFF2-40B4-BE49-F238E27FC236}">
              <a16:creationId xmlns:a16="http://schemas.microsoft.com/office/drawing/2014/main" id="{A3D737E3-9FC4-4F20-B07C-D9DC9741E8C4}"/>
            </a:ext>
          </a:extLst>
        </xdr:cNvPr>
        <xdr:cNvCxnSpPr/>
      </xdr:nvCxnSpPr>
      <xdr:spPr>
        <a:xfrm>
          <a:off x="9376954" y="4257403"/>
          <a:ext cx="0" cy="138248"/>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xdr:col>
      <xdr:colOff>0</xdr:colOff>
      <xdr:row>54</xdr:row>
      <xdr:rowOff>0</xdr:rowOff>
    </xdr:from>
    <xdr:to>
      <xdr:col>6</xdr:col>
      <xdr:colOff>4354</xdr:colOff>
      <xdr:row>56</xdr:row>
      <xdr:rowOff>126274</xdr:rowOff>
    </xdr:to>
    <xdr:cxnSp macro="">
      <xdr:nvCxnSpPr>
        <xdr:cNvPr id="24" name="Straight Connector 23">
          <a:extLst>
            <a:ext uri="{FF2B5EF4-FFF2-40B4-BE49-F238E27FC236}">
              <a16:creationId xmlns:a16="http://schemas.microsoft.com/office/drawing/2014/main" id="{C79829C4-C3AC-46B0-BB48-CFDE52F6D0ED}"/>
            </a:ext>
          </a:extLst>
        </xdr:cNvPr>
        <xdr:cNvCxnSpPr/>
      </xdr:nvCxnSpPr>
      <xdr:spPr>
        <a:xfrm>
          <a:off x="9921240" y="4244340"/>
          <a:ext cx="4354" cy="453934"/>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12</xdr:col>
      <xdr:colOff>0</xdr:colOff>
      <xdr:row>53</xdr:row>
      <xdr:rowOff>200296</xdr:rowOff>
    </xdr:from>
    <xdr:to>
      <xdr:col>12</xdr:col>
      <xdr:colOff>4355</xdr:colOff>
      <xdr:row>56</xdr:row>
      <xdr:rowOff>91439</xdr:rowOff>
    </xdr:to>
    <xdr:cxnSp macro="">
      <xdr:nvCxnSpPr>
        <xdr:cNvPr id="25" name="Straight Connector 24">
          <a:extLst>
            <a:ext uri="{FF2B5EF4-FFF2-40B4-BE49-F238E27FC236}">
              <a16:creationId xmlns:a16="http://schemas.microsoft.com/office/drawing/2014/main" id="{1531EA17-7034-4C6B-A0C1-7D2162EE6FA0}"/>
            </a:ext>
          </a:extLst>
        </xdr:cNvPr>
        <xdr:cNvCxnSpPr/>
      </xdr:nvCxnSpPr>
      <xdr:spPr>
        <a:xfrm>
          <a:off x="11650980" y="4208416"/>
          <a:ext cx="4355" cy="455023"/>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0</xdr:colOff>
      <xdr:row>53</xdr:row>
      <xdr:rowOff>191588</xdr:rowOff>
    </xdr:from>
    <xdr:to>
      <xdr:col>10</xdr:col>
      <xdr:colOff>4354</xdr:colOff>
      <xdr:row>54</xdr:row>
      <xdr:rowOff>187235</xdr:rowOff>
    </xdr:to>
    <xdr:cxnSp macro="">
      <xdr:nvCxnSpPr>
        <xdr:cNvPr id="26" name="Straight Connector 25">
          <a:extLst>
            <a:ext uri="{FF2B5EF4-FFF2-40B4-BE49-F238E27FC236}">
              <a16:creationId xmlns:a16="http://schemas.microsoft.com/office/drawing/2014/main" id="{BACF1E0E-9889-40AF-B2C0-E71375F309DC}"/>
            </a:ext>
          </a:extLst>
        </xdr:cNvPr>
        <xdr:cNvCxnSpPr/>
      </xdr:nvCxnSpPr>
      <xdr:spPr>
        <a:xfrm flipH="1">
          <a:off x="11140440" y="4199708"/>
          <a:ext cx="4354" cy="170907"/>
        </a:xfrm>
        <a:prstGeom prst="line">
          <a:avLst/>
        </a:prstGeom>
        <a:ln w="19050" cap="flat" cmpd="sng" algn="ctr">
          <a:solidFill>
            <a:schemeClr val="accent6"/>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106681</xdr:colOff>
      <xdr:row>0</xdr:row>
      <xdr:rowOff>175261</xdr:rowOff>
    </xdr:from>
    <xdr:to>
      <xdr:col>6</xdr:col>
      <xdr:colOff>502921</xdr:colOff>
      <xdr:row>15</xdr:row>
      <xdr:rowOff>151720</xdr:rowOff>
    </xdr:to>
    <xdr:pic>
      <xdr:nvPicPr>
        <xdr:cNvPr id="2" name="Picture 1">
          <a:extLst>
            <a:ext uri="{FF2B5EF4-FFF2-40B4-BE49-F238E27FC236}">
              <a16:creationId xmlns:a16="http://schemas.microsoft.com/office/drawing/2014/main" id="{00F1EF80-6CC6-5235-9525-BB33DAEB4FE2}"/>
            </a:ext>
          </a:extLst>
        </xdr:cNvPr>
        <xdr:cNvPicPr>
          <a:picLocks noChangeAspect="1"/>
        </xdr:cNvPicPr>
      </xdr:nvPicPr>
      <xdr:blipFill>
        <a:blip xmlns:r="http://schemas.openxmlformats.org/officeDocument/2006/relationships" r:embed="rId1"/>
        <a:stretch>
          <a:fillRect/>
        </a:stretch>
      </xdr:blipFill>
      <xdr:spPr>
        <a:xfrm>
          <a:off x="106681" y="175261"/>
          <a:ext cx="4419600" cy="295353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tadiranbatteries.de/" TargetMode="External"/><Relationship Id="rId1" Type="http://schemas.openxmlformats.org/officeDocument/2006/relationships/hyperlink" Target="http://www.tadiranbat.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R138"/>
  <sheetViews>
    <sheetView showGridLines="0" tabSelected="1" zoomScaleNormal="100" zoomScaleSheetLayoutView="100" workbookViewId="0">
      <selection activeCell="B7" sqref="B7:M7"/>
    </sheetView>
  </sheetViews>
  <sheetFormatPr defaultColWidth="9" defaultRowHeight="15.6" x14ac:dyDescent="0.3"/>
  <cols>
    <col min="1" max="1" width="42.69921875" customWidth="1"/>
    <col min="2" max="5" width="7.5" customWidth="1"/>
    <col min="6" max="6" width="8.796875" customWidth="1"/>
    <col min="7" max="7" width="9.296875" customWidth="1"/>
    <col min="8" max="12" width="7.5" customWidth="1"/>
    <col min="13" max="13" width="8.09765625" customWidth="1"/>
    <col min="14" max="16" width="7.5" customWidth="1"/>
    <col min="18" max="18" width="9" customWidth="1"/>
    <col min="19" max="19" width="12.296875" customWidth="1"/>
    <col min="20" max="20" width="12" customWidth="1"/>
    <col min="21" max="21" width="13.09765625" customWidth="1"/>
  </cols>
  <sheetData>
    <row r="1" spans="1:44" ht="32.25" customHeight="1" x14ac:dyDescent="0.3">
      <c r="A1" s="18" t="s">
        <v>444</v>
      </c>
      <c r="B1" s="203" t="s">
        <v>445</v>
      </c>
      <c r="C1" s="203"/>
      <c r="D1" s="203"/>
      <c r="E1" s="203"/>
      <c r="F1" s="203"/>
      <c r="G1" s="203"/>
      <c r="H1" s="203"/>
      <c r="I1" s="203"/>
      <c r="J1" s="203"/>
      <c r="K1" s="203"/>
      <c r="L1" s="203"/>
      <c r="M1" s="203"/>
      <c r="N1" s="19"/>
      <c r="O1" s="198" t="s">
        <v>156</v>
      </c>
      <c r="P1" s="198"/>
    </row>
    <row r="2" spans="1:44" ht="3.6" customHeight="1" x14ac:dyDescent="0.3">
      <c r="A2" s="4"/>
      <c r="B2" s="4"/>
      <c r="C2" s="4"/>
      <c r="D2" s="4"/>
      <c r="E2" s="4"/>
      <c r="F2" s="4"/>
      <c r="G2" s="4"/>
      <c r="H2" s="4"/>
      <c r="I2" s="4"/>
      <c r="J2" s="4"/>
      <c r="K2" s="4"/>
      <c r="L2" s="4"/>
      <c r="M2" s="4"/>
      <c r="N2" s="4"/>
      <c r="O2" s="4"/>
      <c r="P2" s="4"/>
    </row>
    <row r="3" spans="1:44" ht="21" customHeight="1" x14ac:dyDescent="0.3">
      <c r="A3" s="196" t="s">
        <v>73</v>
      </c>
      <c r="B3" s="197"/>
      <c r="C3" s="197"/>
      <c r="D3" s="197"/>
      <c r="E3" s="197"/>
      <c r="F3" s="197"/>
      <c r="G3" s="197"/>
      <c r="H3" s="197"/>
      <c r="I3" s="197"/>
      <c r="J3" s="197"/>
      <c r="K3" s="197"/>
      <c r="L3" s="197"/>
      <c r="M3" s="197"/>
      <c r="N3" s="197"/>
      <c r="O3" s="197"/>
      <c r="P3" s="197"/>
      <c r="Q3" s="3"/>
      <c r="R3" s="3"/>
      <c r="S3" s="3"/>
      <c r="T3" s="3"/>
      <c r="U3" s="3"/>
      <c r="V3" s="3"/>
      <c r="W3" s="3"/>
      <c r="X3" s="3"/>
      <c r="Y3" s="3"/>
      <c r="Z3" s="3"/>
      <c r="AA3" s="3"/>
      <c r="AB3" s="3"/>
      <c r="AC3" s="3"/>
      <c r="AD3" s="3"/>
      <c r="AE3" s="3"/>
      <c r="AF3" s="3"/>
      <c r="AG3" s="3"/>
      <c r="AH3" s="3"/>
      <c r="AI3" s="3"/>
      <c r="AJ3" s="3"/>
      <c r="AK3" s="3"/>
      <c r="AL3" s="3"/>
      <c r="AM3" s="3"/>
      <c r="AN3" s="3"/>
      <c r="AO3" s="3"/>
      <c r="AP3" s="3"/>
      <c r="AQ3" s="3"/>
      <c r="AR3" s="3"/>
    </row>
    <row r="4" spans="1:44" ht="4.2" customHeight="1"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row>
    <row r="5" spans="1:44" ht="21.6" thickBot="1" x14ac:dyDescent="0.45">
      <c r="A5" s="20" t="s">
        <v>5</v>
      </c>
      <c r="B5" s="2"/>
      <c r="C5" s="2"/>
      <c r="D5" s="2"/>
      <c r="E5" s="2"/>
      <c r="F5" s="2"/>
      <c r="G5" s="2"/>
      <c r="H5" s="2"/>
      <c r="I5" s="2"/>
      <c r="J5" s="2"/>
      <c r="K5" s="2"/>
      <c r="L5" s="2"/>
      <c r="M5" s="2"/>
      <c r="N5" s="2"/>
      <c r="O5" s="2"/>
      <c r="P5" s="112" t="str">
        <f>IF(OR(O7="",D14="",K14=""),"Please fill out all mandatory fields marked with a red frame. These fields are essential for processing and validation.","")</f>
        <v>Please fill out all mandatory fields marked with a red frame. These fields are essential for processing and validation.</v>
      </c>
    </row>
    <row r="6" spans="1:44" ht="4.5" customHeight="1" thickBot="1" x14ac:dyDescent="0.35"/>
    <row r="7" spans="1:44" ht="18.600000000000001" thickBot="1" x14ac:dyDescent="0.4">
      <c r="A7" s="5" t="s">
        <v>74</v>
      </c>
      <c r="B7" s="200" t="s">
        <v>446</v>
      </c>
      <c r="C7" s="201"/>
      <c r="D7" s="201"/>
      <c r="E7" s="201"/>
      <c r="F7" s="201"/>
      <c r="G7" s="201"/>
      <c r="H7" s="201"/>
      <c r="I7" s="201"/>
      <c r="J7" s="201"/>
      <c r="K7" s="201"/>
      <c r="L7" s="201"/>
      <c r="M7" s="202"/>
      <c r="N7" s="6" t="s">
        <v>448</v>
      </c>
      <c r="O7" s="204"/>
      <c r="P7" s="205"/>
    </row>
    <row r="8" spans="1:44" ht="9" customHeight="1" thickBot="1" x14ac:dyDescent="0.35">
      <c r="A8" s="5"/>
      <c r="B8" s="5"/>
      <c r="C8" s="5"/>
      <c r="D8" s="5"/>
      <c r="E8" s="5"/>
      <c r="F8" s="5"/>
      <c r="G8" s="5"/>
      <c r="H8" s="5"/>
      <c r="I8" s="5"/>
      <c r="J8" s="5"/>
      <c r="K8" s="5"/>
      <c r="L8" s="5"/>
      <c r="M8" s="5"/>
      <c r="N8" s="5"/>
      <c r="O8" s="5"/>
      <c r="P8" s="5"/>
    </row>
    <row r="9" spans="1:44" x14ac:dyDescent="0.3">
      <c r="A9" s="5" t="s">
        <v>21</v>
      </c>
      <c r="B9" s="208" t="s">
        <v>749</v>
      </c>
      <c r="C9" s="209"/>
      <c r="D9" s="209"/>
      <c r="E9" s="209"/>
      <c r="F9" s="209"/>
      <c r="G9" s="210"/>
      <c r="H9" s="210"/>
      <c r="I9" s="210"/>
      <c r="J9" s="210"/>
      <c r="K9" s="210"/>
      <c r="L9" s="210"/>
      <c r="M9" s="210"/>
      <c r="N9" s="210"/>
      <c r="O9" s="211"/>
      <c r="P9" s="212"/>
    </row>
    <row r="10" spans="1:44" x14ac:dyDescent="0.3">
      <c r="A10" s="5"/>
      <c r="B10" s="213"/>
      <c r="C10" s="214"/>
      <c r="D10" s="214"/>
      <c r="E10" s="214"/>
      <c r="F10" s="214"/>
      <c r="G10" s="215"/>
      <c r="H10" s="215"/>
      <c r="I10" s="215"/>
      <c r="J10" s="215"/>
      <c r="K10" s="215"/>
      <c r="L10" s="215"/>
      <c r="M10" s="215"/>
      <c r="N10" s="215"/>
      <c r="O10" s="216"/>
      <c r="P10" s="217"/>
    </row>
    <row r="11" spans="1:44" x14ac:dyDescent="0.3">
      <c r="A11" s="5"/>
      <c r="B11" s="213"/>
      <c r="C11" s="214"/>
      <c r="D11" s="214"/>
      <c r="E11" s="214"/>
      <c r="F11" s="214"/>
      <c r="G11" s="215"/>
      <c r="H11" s="215"/>
      <c r="I11" s="215"/>
      <c r="J11" s="215"/>
      <c r="K11" s="215"/>
      <c r="L11" s="215"/>
      <c r="M11" s="215"/>
      <c r="N11" s="215"/>
      <c r="O11" s="216"/>
      <c r="P11" s="217"/>
    </row>
    <row r="12" spans="1:44" ht="16.2" thickBot="1" x14ac:dyDescent="0.35">
      <c r="A12" s="5"/>
      <c r="B12" s="218"/>
      <c r="C12" s="219"/>
      <c r="D12" s="219"/>
      <c r="E12" s="219"/>
      <c r="F12" s="219"/>
      <c r="G12" s="220"/>
      <c r="H12" s="220"/>
      <c r="I12" s="220"/>
      <c r="J12" s="220"/>
      <c r="K12" s="220"/>
      <c r="L12" s="220"/>
      <c r="M12" s="220"/>
      <c r="N12" s="220"/>
      <c r="O12" s="221"/>
      <c r="P12" s="222"/>
    </row>
    <row r="13" spans="1:44" ht="9" customHeight="1" thickBot="1" x14ac:dyDescent="0.35">
      <c r="A13" s="5"/>
      <c r="B13" s="62"/>
      <c r="C13" s="62"/>
      <c r="D13" s="62"/>
      <c r="E13" s="62"/>
      <c r="F13" s="62"/>
      <c r="G13" s="62"/>
      <c r="H13" s="62"/>
      <c r="I13" s="62"/>
      <c r="J13" s="62"/>
      <c r="K13" s="62"/>
      <c r="L13" s="62"/>
      <c r="M13" s="62"/>
      <c r="N13" s="62"/>
      <c r="O13" s="62"/>
      <c r="P13" s="62"/>
    </row>
    <row r="14" spans="1:44" ht="16.2" customHeight="1" thickBot="1" x14ac:dyDescent="0.35">
      <c r="C14" s="6" t="s">
        <v>561</v>
      </c>
      <c r="D14" s="183"/>
      <c r="E14" s="184"/>
      <c r="F14" s="184"/>
      <c r="G14" s="184"/>
      <c r="H14" s="185"/>
      <c r="I14" s="206" t="s">
        <v>447</v>
      </c>
      <c r="J14" s="207"/>
      <c r="K14" s="191"/>
      <c r="L14" s="199"/>
      <c r="M14" s="199"/>
      <c r="N14" s="199"/>
      <c r="O14" s="199"/>
      <c r="P14" s="192"/>
      <c r="Q14" s="111" t="str">
        <f>IF(D14="","",VLOOKUP(CONCATENATE("CSE ",D14),DB!AF5:AH196,3,FALSE))</f>
        <v/>
      </c>
    </row>
    <row r="15" spans="1:44" ht="9" customHeight="1" thickBot="1" x14ac:dyDescent="0.35">
      <c r="A15" s="5"/>
      <c r="B15" s="5"/>
      <c r="C15" s="5"/>
      <c r="D15" s="5"/>
      <c r="E15" s="5"/>
      <c r="F15" s="5"/>
      <c r="G15" s="5"/>
      <c r="H15" s="5"/>
      <c r="I15" s="5"/>
      <c r="J15" s="5"/>
      <c r="K15" s="5"/>
      <c r="L15" s="5"/>
      <c r="M15" s="5"/>
      <c r="N15" s="5"/>
      <c r="O15" s="5"/>
      <c r="P15" s="5"/>
    </row>
    <row r="16" spans="1:44" ht="18.600000000000001" thickBot="1" x14ac:dyDescent="0.4">
      <c r="A16" s="5" t="s">
        <v>58</v>
      </c>
      <c r="B16" s="200" t="s">
        <v>157</v>
      </c>
      <c r="C16" s="201"/>
      <c r="D16" s="201"/>
      <c r="E16" s="201"/>
      <c r="F16" s="201"/>
      <c r="G16" s="201"/>
      <c r="H16" s="201"/>
      <c r="I16" s="201"/>
      <c r="J16" s="201"/>
      <c r="K16" s="201"/>
      <c r="L16" s="201"/>
      <c r="M16" s="201"/>
      <c r="N16" s="201"/>
      <c r="O16" s="201"/>
      <c r="P16" s="202"/>
    </row>
    <row r="17" spans="1:16" ht="9" customHeight="1" thickBot="1" x14ac:dyDescent="0.35">
      <c r="A17" s="5"/>
      <c r="B17" s="5"/>
      <c r="C17" s="5"/>
      <c r="D17" s="5"/>
      <c r="E17" s="5"/>
      <c r="F17" s="5"/>
      <c r="G17" s="5"/>
      <c r="H17" s="5"/>
      <c r="I17" s="5"/>
      <c r="J17" s="5"/>
      <c r="K17" s="5"/>
      <c r="L17" s="5"/>
      <c r="M17" s="5"/>
      <c r="N17" s="5"/>
      <c r="O17" s="5"/>
      <c r="P17" s="5"/>
    </row>
    <row r="18" spans="1:16" ht="16.2" thickBot="1" x14ac:dyDescent="0.35">
      <c r="A18" s="5" t="s">
        <v>2</v>
      </c>
      <c r="B18" s="191" t="s">
        <v>450</v>
      </c>
      <c r="C18" s="199"/>
      <c r="D18" s="199"/>
      <c r="E18" s="192"/>
      <c r="F18" s="5"/>
      <c r="G18" s="191" t="s">
        <v>451</v>
      </c>
      <c r="H18" s="199"/>
      <c r="I18" s="199"/>
      <c r="J18" s="199"/>
      <c r="K18" s="192"/>
      <c r="L18" s="5"/>
      <c r="M18" s="193" t="s">
        <v>1</v>
      </c>
      <c r="N18" s="194"/>
      <c r="O18" s="194"/>
      <c r="P18" s="195"/>
    </row>
    <row r="19" spans="1:16" ht="9" customHeight="1" thickBot="1" x14ac:dyDescent="0.35">
      <c r="A19" s="5"/>
      <c r="B19" s="5"/>
      <c r="C19" s="5"/>
      <c r="D19" s="5"/>
      <c r="E19" s="5"/>
      <c r="F19" s="5"/>
      <c r="G19" s="5"/>
      <c r="H19" s="5"/>
      <c r="I19" s="5"/>
      <c r="J19" s="5"/>
      <c r="K19" s="5"/>
      <c r="L19" s="5"/>
      <c r="M19" s="5"/>
      <c r="N19" s="5"/>
      <c r="O19" s="5"/>
      <c r="P19" s="5"/>
    </row>
    <row r="20" spans="1:16" ht="16.2" thickBot="1" x14ac:dyDescent="0.35">
      <c r="A20" s="5"/>
      <c r="B20" s="191" t="s">
        <v>45</v>
      </c>
      <c r="C20" s="199"/>
      <c r="D20" s="199"/>
      <c r="E20" s="199"/>
      <c r="F20" s="199"/>
      <c r="G20" s="199"/>
      <c r="H20" s="192"/>
      <c r="J20" s="191" t="s">
        <v>3</v>
      </c>
      <c r="K20" s="199"/>
      <c r="L20" s="199"/>
      <c r="M20" s="199"/>
      <c r="N20" s="199"/>
      <c r="O20" s="199"/>
      <c r="P20" s="192"/>
    </row>
    <row r="21" spans="1:16" ht="9" customHeight="1" thickBot="1" x14ac:dyDescent="0.35">
      <c r="A21" s="5"/>
      <c r="B21" s="5"/>
      <c r="C21" s="5"/>
      <c r="D21" s="5"/>
      <c r="E21" s="5"/>
      <c r="F21" s="5"/>
      <c r="G21" s="5"/>
      <c r="H21" s="5"/>
      <c r="I21" s="5"/>
      <c r="J21" s="5"/>
      <c r="K21" s="5"/>
      <c r="L21" s="5"/>
      <c r="M21" s="5"/>
      <c r="N21" s="5"/>
      <c r="O21" s="5"/>
      <c r="P21" s="5"/>
    </row>
    <row r="22" spans="1:16" ht="16.2" thickBot="1" x14ac:dyDescent="0.35">
      <c r="A22" s="5"/>
      <c r="B22" s="191" t="s">
        <v>0</v>
      </c>
      <c r="C22" s="199"/>
      <c r="D22" s="199"/>
      <c r="E22" s="199"/>
      <c r="F22" s="199"/>
      <c r="G22" s="199"/>
      <c r="H22" s="199"/>
      <c r="I22" s="199"/>
      <c r="J22" s="199"/>
      <c r="K22" s="199"/>
      <c r="L22" s="199"/>
      <c r="M22" s="199"/>
      <c r="N22" s="199"/>
      <c r="O22" s="199"/>
      <c r="P22" s="192"/>
    </row>
    <row r="23" spans="1:16" ht="9" customHeight="1" thickBot="1" x14ac:dyDescent="0.35">
      <c r="A23" s="5"/>
      <c r="B23" s="7"/>
      <c r="C23" s="7"/>
      <c r="D23" s="7"/>
      <c r="E23" s="7"/>
      <c r="F23" s="7"/>
      <c r="G23" s="7"/>
      <c r="H23" s="7"/>
      <c r="I23" s="7"/>
      <c r="J23" s="5"/>
      <c r="K23" s="5"/>
      <c r="L23" s="7"/>
      <c r="M23" s="7"/>
      <c r="N23" s="7"/>
      <c r="O23" s="7"/>
      <c r="P23" s="7"/>
    </row>
    <row r="24" spans="1:16" ht="16.2" thickBot="1" x14ac:dyDescent="0.35">
      <c r="A24" s="5"/>
      <c r="B24" s="191" t="s">
        <v>4</v>
      </c>
      <c r="C24" s="199"/>
      <c r="D24" s="199"/>
      <c r="E24" s="192"/>
      <c r="F24" s="5"/>
      <c r="G24" s="191" t="s">
        <v>828</v>
      </c>
      <c r="H24" s="192"/>
      <c r="I24" s="5"/>
      <c r="J24" s="191" t="s">
        <v>560</v>
      </c>
      <c r="K24" s="192"/>
      <c r="M24" s="191" t="s">
        <v>59</v>
      </c>
      <c r="N24" s="199"/>
      <c r="O24" s="199"/>
      <c r="P24" s="192"/>
    </row>
    <row r="25" spans="1:16" ht="9" customHeight="1" thickBot="1" x14ac:dyDescent="0.35">
      <c r="A25" s="5"/>
      <c r="B25" s="5"/>
      <c r="C25" s="5"/>
      <c r="D25" s="5"/>
      <c r="E25" s="5"/>
      <c r="F25" s="5"/>
      <c r="G25" s="5"/>
      <c r="H25" s="5"/>
      <c r="I25" s="5"/>
      <c r="J25" s="5"/>
      <c r="K25" s="5"/>
      <c r="L25" s="5"/>
      <c r="M25" s="5"/>
      <c r="N25" s="5"/>
      <c r="O25" s="5"/>
      <c r="P25" s="5"/>
    </row>
    <row r="26" spans="1:16" ht="16.2" thickBot="1" x14ac:dyDescent="0.35">
      <c r="A26" s="5" t="s">
        <v>22</v>
      </c>
      <c r="B26" s="191" t="s">
        <v>22</v>
      </c>
      <c r="C26" s="199"/>
      <c r="D26" s="199"/>
      <c r="E26" s="192"/>
      <c r="F26" s="5"/>
      <c r="G26" s="5"/>
      <c r="H26" s="5"/>
      <c r="I26" s="5"/>
      <c r="J26" s="5"/>
      <c r="K26" s="5"/>
      <c r="L26" s="6" t="s">
        <v>449</v>
      </c>
      <c r="M26" s="240"/>
      <c r="N26" s="241"/>
      <c r="O26" s="241"/>
      <c r="P26" s="242"/>
    </row>
    <row r="27" spans="1:16" ht="9" customHeight="1" thickBot="1" x14ac:dyDescent="0.35">
      <c r="A27" s="5"/>
      <c r="B27" s="5"/>
      <c r="C27" s="5"/>
      <c r="D27" s="5"/>
      <c r="E27" s="5"/>
      <c r="F27" s="5"/>
      <c r="G27" s="5"/>
      <c r="H27" s="5"/>
      <c r="I27" s="5"/>
      <c r="J27" s="5"/>
      <c r="K27" s="5"/>
      <c r="L27" s="5"/>
      <c r="M27" s="5"/>
      <c r="N27" s="5"/>
      <c r="O27" s="5"/>
      <c r="P27" s="5"/>
    </row>
    <row r="28" spans="1:16" ht="16.2" thickBot="1" x14ac:dyDescent="0.35">
      <c r="A28" s="5" t="s">
        <v>46</v>
      </c>
      <c r="B28" s="191" t="s">
        <v>48</v>
      </c>
      <c r="C28" s="199"/>
      <c r="D28" s="199"/>
      <c r="E28" s="192"/>
      <c r="F28" s="5"/>
      <c r="G28" s="5"/>
      <c r="H28" s="5"/>
      <c r="I28" s="5"/>
      <c r="J28" s="5"/>
      <c r="K28" s="5"/>
    </row>
    <row r="29" spans="1:16" x14ac:dyDescent="0.3">
      <c r="A29" s="5"/>
      <c r="B29" s="5"/>
      <c r="C29" s="5"/>
      <c r="D29" s="5"/>
      <c r="E29" s="5"/>
      <c r="F29" s="5"/>
      <c r="G29" s="5"/>
      <c r="H29" s="5"/>
      <c r="I29" s="5"/>
      <c r="J29" s="5"/>
      <c r="K29" s="5"/>
      <c r="L29" s="5"/>
      <c r="M29" s="5"/>
      <c r="N29" s="5"/>
      <c r="O29" s="5"/>
      <c r="P29" s="5"/>
    </row>
    <row r="30" spans="1:16" ht="21.6" thickBot="1" x14ac:dyDescent="0.45">
      <c r="A30" s="20" t="s">
        <v>6</v>
      </c>
      <c r="B30" s="251" t="s">
        <v>525</v>
      </c>
      <c r="C30" s="252"/>
      <c r="D30" s="252"/>
      <c r="E30" s="252"/>
      <c r="F30" s="252"/>
      <c r="G30" s="252"/>
      <c r="H30" s="252"/>
      <c r="I30" s="252"/>
      <c r="J30" s="252"/>
      <c r="K30" s="252"/>
      <c r="L30" s="252"/>
      <c r="M30" s="252"/>
      <c r="N30" s="252"/>
      <c r="O30" s="252"/>
      <c r="P30" s="253"/>
    </row>
    <row r="31" spans="1:16" ht="9" customHeight="1" thickBot="1" x14ac:dyDescent="0.35">
      <c r="A31" s="5"/>
      <c r="B31" s="5"/>
      <c r="C31" s="5"/>
      <c r="D31" s="5"/>
      <c r="E31" s="5"/>
      <c r="F31" s="5"/>
      <c r="G31" s="5"/>
      <c r="H31" s="5"/>
      <c r="I31" s="5"/>
      <c r="J31" s="5"/>
      <c r="K31" s="5"/>
      <c r="L31" s="5"/>
      <c r="M31" s="5"/>
      <c r="N31" s="5"/>
      <c r="O31" s="5"/>
      <c r="P31" s="5"/>
    </row>
    <row r="32" spans="1:16" ht="16.2" thickBot="1" x14ac:dyDescent="0.35">
      <c r="A32" s="5" t="s">
        <v>487</v>
      </c>
      <c r="C32" s="6" t="s">
        <v>96</v>
      </c>
      <c r="D32" s="8"/>
      <c r="E32" s="5" t="s">
        <v>453</v>
      </c>
      <c r="F32" s="6" t="s">
        <v>7</v>
      </c>
      <c r="G32" s="8"/>
      <c r="H32" s="5" t="s">
        <v>453</v>
      </c>
      <c r="K32" s="6" t="s">
        <v>454</v>
      </c>
      <c r="L32" s="8"/>
      <c r="M32" s="5" t="s">
        <v>453</v>
      </c>
      <c r="P32" s="7"/>
    </row>
    <row r="33" spans="1:23" x14ac:dyDescent="0.3">
      <c r="B33" s="26"/>
      <c r="C33" s="5"/>
      <c r="D33" s="5"/>
      <c r="E33" s="5"/>
      <c r="F33" s="5"/>
      <c r="G33" s="5"/>
      <c r="H33" s="5"/>
      <c r="I33" s="5"/>
      <c r="J33" s="5"/>
      <c r="K33" s="5"/>
      <c r="L33" s="5"/>
      <c r="M33" s="5"/>
      <c r="N33" s="5"/>
      <c r="O33" s="5"/>
      <c r="P33" s="57" t="str">
        <f>IF(L32="","Electronics minimum voltage is a key parameter to design an optimal battery solution and is mandatory to fill in.","")</f>
        <v>Electronics minimum voltage is a key parameter to design an optimal battery solution and is mandatory to fill in.</v>
      </c>
    </row>
    <row r="34" spans="1:23" ht="9" customHeight="1" thickBot="1" x14ac:dyDescent="0.35">
      <c r="B34" s="26"/>
      <c r="C34" s="5"/>
      <c r="D34" s="5"/>
      <c r="E34" s="5"/>
      <c r="F34" s="5"/>
      <c r="G34" s="5"/>
      <c r="H34" s="5"/>
      <c r="I34" s="5"/>
      <c r="J34" s="5"/>
      <c r="K34" s="5"/>
      <c r="L34" s="5"/>
      <c r="M34" s="5"/>
      <c r="N34" s="5"/>
      <c r="O34" s="5"/>
      <c r="P34" s="5"/>
    </row>
    <row r="35" spans="1:23" ht="16.2" customHeight="1" thickBot="1" x14ac:dyDescent="0.35">
      <c r="A35" s="5" t="s">
        <v>494</v>
      </c>
      <c r="B35" s="5" t="s">
        <v>495</v>
      </c>
      <c r="C35" s="5"/>
      <c r="D35" s="5"/>
      <c r="E35" s="59"/>
      <c r="F35" s="10" t="s">
        <v>92</v>
      </c>
      <c r="G35" s="5"/>
      <c r="L35" s="5"/>
      <c r="N35" s="6" t="s">
        <v>537</v>
      </c>
      <c r="O35" s="8"/>
      <c r="P35" s="10" t="s">
        <v>92</v>
      </c>
    </row>
    <row r="36" spans="1:23" ht="16.2" customHeight="1" thickBot="1" x14ac:dyDescent="0.35">
      <c r="A36" s="5"/>
      <c r="B36" s="5"/>
      <c r="C36" s="5"/>
      <c r="D36" s="5"/>
      <c r="E36" s="5"/>
      <c r="H36" s="5"/>
      <c r="I36" s="249" t="s">
        <v>536</v>
      </c>
      <c r="J36" s="249"/>
      <c r="K36" s="249"/>
      <c r="L36" s="249"/>
      <c r="M36" s="249"/>
      <c r="N36" s="250"/>
      <c r="O36" s="8">
        <v>0</v>
      </c>
      <c r="P36" s="32" t="str">
        <f>IF($G$42=DB!$AX$2,"µA","µW")</f>
        <v>µA</v>
      </c>
    </row>
    <row r="37" spans="1:23" ht="16.2" thickBot="1" x14ac:dyDescent="0.35">
      <c r="A37" s="25"/>
      <c r="B37" s="5"/>
      <c r="C37" s="5"/>
      <c r="D37" s="5"/>
      <c r="E37" s="5"/>
      <c r="F37" s="5"/>
      <c r="G37" s="5"/>
      <c r="H37" s="5"/>
      <c r="I37" s="5"/>
      <c r="J37" s="5"/>
      <c r="K37" s="7"/>
      <c r="L37" s="7"/>
      <c r="M37" s="7"/>
      <c r="N37" s="6" t="s">
        <v>478</v>
      </c>
      <c r="O37" s="63">
        <f>O35*VLOOKUP(P35,DB!$AL$2:$AM$10,2,FALSE)*O36*VLOOKUP(P36,DB!$AN$2:$AO$8,2,FALSE)/3600</f>
        <v>0</v>
      </c>
      <c r="P37" s="32" t="str">
        <f>IF(OR(P36=DB!AN2,P36=DB!AN3,P36=DB!AN4),"mAh","mWh")</f>
        <v>mAh</v>
      </c>
    </row>
    <row r="38" spans="1:23" ht="16.2" thickBot="1" x14ac:dyDescent="0.35">
      <c r="A38" s="5" t="s">
        <v>526</v>
      </c>
      <c r="B38" s="59"/>
      <c r="C38" s="10" t="s">
        <v>92</v>
      </c>
    </row>
    <row r="39" spans="1:23" ht="9" customHeight="1" thickBot="1" x14ac:dyDescent="0.35">
      <c r="A39" s="5"/>
      <c r="B39" s="5"/>
      <c r="C39" s="5"/>
      <c r="D39" s="5"/>
      <c r="E39" s="5"/>
      <c r="F39" s="5"/>
      <c r="G39" s="5"/>
      <c r="H39" s="5"/>
      <c r="I39" s="5"/>
      <c r="J39" s="7"/>
    </row>
    <row r="40" spans="1:23" ht="16.2" thickBot="1" x14ac:dyDescent="0.35">
      <c r="A40" s="5" t="s">
        <v>455</v>
      </c>
      <c r="B40" s="186" t="s">
        <v>56</v>
      </c>
      <c r="C40" s="187"/>
      <c r="D40" s="188"/>
      <c r="E40" s="5"/>
      <c r="F40" s="6" t="s">
        <v>484</v>
      </c>
      <c r="G40" s="186" t="s">
        <v>56</v>
      </c>
      <c r="H40" s="187"/>
      <c r="I40" s="188"/>
      <c r="J40" s="5"/>
      <c r="K40" s="5"/>
      <c r="L40" s="6" t="s">
        <v>485</v>
      </c>
      <c r="M40" s="186" t="s">
        <v>48</v>
      </c>
      <c r="N40" s="187"/>
      <c r="O40" s="187"/>
      <c r="P40" s="188"/>
      <c r="R40" s="30"/>
      <c r="S40" s="30"/>
      <c r="T40" s="30"/>
      <c r="U40" s="30"/>
      <c r="V40" s="30"/>
      <c r="W40" s="30"/>
    </row>
    <row r="41" spans="1:23" ht="9" customHeight="1" thickBot="1" x14ac:dyDescent="0.35">
      <c r="A41" s="5"/>
      <c r="B41" s="5"/>
      <c r="C41" s="5"/>
      <c r="D41" s="5"/>
      <c r="I41" s="5"/>
      <c r="K41" s="5"/>
      <c r="L41" s="5"/>
      <c r="M41" s="5"/>
      <c r="N41" s="5"/>
      <c r="O41" s="5"/>
      <c r="P41" s="5"/>
      <c r="R41" s="30"/>
      <c r="S41" s="30"/>
      <c r="T41" s="30"/>
      <c r="U41" s="30"/>
      <c r="V41" s="30"/>
      <c r="W41" s="30"/>
    </row>
    <row r="42" spans="1:23" ht="16.2" thickBot="1" x14ac:dyDescent="0.35">
      <c r="A42" s="5" t="s">
        <v>87</v>
      </c>
      <c r="B42" s="11"/>
      <c r="C42" s="12" t="str">
        <f>IF($G$42=DB!$AX$2,"µA","µW")</f>
        <v>µA</v>
      </c>
      <c r="D42" s="5"/>
      <c r="F42" s="6" t="s">
        <v>456</v>
      </c>
      <c r="G42" s="186" t="s">
        <v>85</v>
      </c>
      <c r="H42" s="187"/>
      <c r="I42" s="188"/>
      <c r="R42" s="30"/>
      <c r="S42" s="30">
        <f>(B42*VLOOKUP(C42,DB!$AN$2:$AO$8,2,FALSE))</f>
        <v>0</v>
      </c>
      <c r="T42" s="30"/>
      <c r="U42" s="30"/>
      <c r="V42" s="30">
        <f>S42*1000</f>
        <v>0</v>
      </c>
      <c r="W42" s="30"/>
    </row>
    <row r="43" spans="1:23" ht="9" customHeight="1" x14ac:dyDescent="0.3">
      <c r="A43" s="5"/>
      <c r="B43" s="5"/>
      <c r="C43" s="5"/>
      <c r="D43" s="5"/>
      <c r="E43" s="5"/>
      <c r="F43" s="5"/>
      <c r="G43" s="5"/>
      <c r="H43" s="5"/>
      <c r="I43" s="5"/>
      <c r="J43" s="5"/>
      <c r="K43" s="5"/>
      <c r="L43" s="5"/>
      <c r="M43" s="5"/>
      <c r="N43" s="5"/>
      <c r="O43" s="5"/>
      <c r="P43" s="5"/>
      <c r="R43" s="30"/>
      <c r="S43" s="30"/>
      <c r="T43" s="30"/>
      <c r="U43" s="30"/>
      <c r="V43" s="30"/>
      <c r="W43" s="30"/>
    </row>
    <row r="44" spans="1:23" ht="16.5" customHeight="1" x14ac:dyDescent="0.3">
      <c r="A44" s="5"/>
      <c r="B44" s="189" t="s">
        <v>71</v>
      </c>
      <c r="C44" s="190"/>
      <c r="D44" s="189" t="s">
        <v>9</v>
      </c>
      <c r="E44" s="190"/>
      <c r="F44" s="189" t="s">
        <v>503</v>
      </c>
      <c r="G44" s="190"/>
      <c r="H44" s="189" t="s">
        <v>467</v>
      </c>
      <c r="I44" s="190"/>
      <c r="J44" s="189" t="s">
        <v>470</v>
      </c>
      <c r="K44" s="244"/>
      <c r="L44" s="244"/>
      <c r="M44" s="190"/>
      <c r="N44" s="189" t="s">
        <v>468</v>
      </c>
      <c r="O44" s="244"/>
      <c r="P44" s="190"/>
      <c r="R44" s="30"/>
      <c r="S44" s="30" t="s">
        <v>475</v>
      </c>
      <c r="T44" s="30" t="s">
        <v>474</v>
      </c>
      <c r="U44" s="30" t="s">
        <v>476</v>
      </c>
      <c r="V44" s="30" t="s">
        <v>477</v>
      </c>
      <c r="W44" s="30"/>
    </row>
    <row r="45" spans="1:23" x14ac:dyDescent="0.3">
      <c r="A45" s="6" t="s">
        <v>466</v>
      </c>
      <c r="B45" s="11"/>
      <c r="C45" s="12" t="str">
        <f>IF($G$42=DB!$AX$2,"mA","mW")</f>
        <v>mA</v>
      </c>
      <c r="D45" s="11"/>
      <c r="E45" s="12" t="s">
        <v>28</v>
      </c>
      <c r="F45" s="11"/>
      <c r="G45" s="12" t="s">
        <v>88</v>
      </c>
      <c r="H45" s="178"/>
      <c r="I45" s="180"/>
      <c r="J45" s="11"/>
      <c r="K45" s="12" t="str">
        <f>IF($G$42=DB!$AX$2,"mA","mW")</f>
        <v>mA</v>
      </c>
      <c r="L45" s="11"/>
      <c r="M45" s="12" t="s">
        <v>27</v>
      </c>
      <c r="N45" s="175"/>
      <c r="O45" s="176"/>
      <c r="P45" s="177"/>
      <c r="R45" s="30"/>
      <c r="S45" s="30">
        <f>(B45*VLOOKUP(C45,DB!$AN$2:$AO$8,2,FALSE))</f>
        <v>0</v>
      </c>
      <c r="T45" s="31">
        <f>D45*VLOOKUP(E45,DB!$AL$2:$AM$10,2,FALSE)</f>
        <v>0</v>
      </c>
      <c r="U45" s="31">
        <f>F45*VLOOKUP(G45,DB!$AL$2:$AM$10,2,FALSE)</f>
        <v>0</v>
      </c>
      <c r="V45" s="30">
        <f>IF(B45=0,0,S45*T45/U45*1000)</f>
        <v>0</v>
      </c>
      <c r="W45" s="30"/>
    </row>
    <row r="46" spans="1:23" x14ac:dyDescent="0.3">
      <c r="A46" s="6" t="s">
        <v>465</v>
      </c>
      <c r="B46" s="11"/>
      <c r="C46" s="12" t="str">
        <f>IF($G$42=DB!$AX$2,"mA","mW")</f>
        <v>mA</v>
      </c>
      <c r="D46" s="11"/>
      <c r="E46" s="12" t="s">
        <v>28</v>
      </c>
      <c r="F46" s="11"/>
      <c r="G46" s="12" t="s">
        <v>88</v>
      </c>
      <c r="H46" s="178"/>
      <c r="I46" s="180"/>
      <c r="J46" s="11"/>
      <c r="K46" s="12" t="str">
        <f>IF($G$42=DB!$AX$2,"mA","mW")</f>
        <v>mA</v>
      </c>
      <c r="L46" s="11"/>
      <c r="M46" s="12" t="s">
        <v>27</v>
      </c>
      <c r="N46" s="175"/>
      <c r="O46" s="176"/>
      <c r="P46" s="177"/>
      <c r="R46" s="30"/>
      <c r="S46" s="30">
        <f>(B46*VLOOKUP(C46,DB!$AN$2:$AO$8,2,FALSE))</f>
        <v>0</v>
      </c>
      <c r="T46" s="31">
        <f>D46*VLOOKUP(E46,DB!$AL$2:$AM$10,2,FALSE)</f>
        <v>0</v>
      </c>
      <c r="U46" s="31">
        <f>F46*VLOOKUP(G46,DB!$AL$2:$AM$10,2,FALSE)</f>
        <v>0</v>
      </c>
      <c r="V46" s="30">
        <f t="shared" ref="V46:V54" si="0">IF(B46=0,0,S46*T46/U46*1000)</f>
        <v>0</v>
      </c>
      <c r="W46" s="30"/>
    </row>
    <row r="47" spans="1:23" x14ac:dyDescent="0.3">
      <c r="A47" s="6" t="s">
        <v>464</v>
      </c>
      <c r="B47" s="11"/>
      <c r="C47" s="12" t="str">
        <f>IF($G$42=DB!$AX$2,"mA","mW")</f>
        <v>mA</v>
      </c>
      <c r="D47" s="11"/>
      <c r="E47" s="12" t="s">
        <v>28</v>
      </c>
      <c r="F47" s="11"/>
      <c r="G47" s="12" t="s">
        <v>88</v>
      </c>
      <c r="H47" s="178"/>
      <c r="I47" s="180"/>
      <c r="J47" s="11"/>
      <c r="K47" s="12" t="str">
        <f>IF($G$42=DB!$AX$2,"mA","mW")</f>
        <v>mA</v>
      </c>
      <c r="L47" s="11"/>
      <c r="M47" s="12" t="s">
        <v>27</v>
      </c>
      <c r="N47" s="175"/>
      <c r="O47" s="176"/>
      <c r="P47" s="177"/>
      <c r="R47" s="30"/>
      <c r="S47" s="30">
        <f>(B47*VLOOKUP(C47,DB!$AN$2:$AO$8,2,FALSE))</f>
        <v>0</v>
      </c>
      <c r="T47" s="31">
        <f>D47*VLOOKUP(E47,DB!$AL$2:$AM$10,2,FALSE)</f>
        <v>0</v>
      </c>
      <c r="U47" s="31">
        <f>F47*VLOOKUP(G47,DB!$AL$2:$AM$10,2,FALSE)</f>
        <v>0</v>
      </c>
      <c r="V47" s="30">
        <f t="shared" si="0"/>
        <v>0</v>
      </c>
      <c r="W47" s="30"/>
    </row>
    <row r="48" spans="1:23" x14ac:dyDescent="0.3">
      <c r="A48" s="6" t="s">
        <v>463</v>
      </c>
      <c r="B48" s="11"/>
      <c r="C48" s="12" t="str">
        <f>IF($G$42=DB!$AX$2,"mA","mW")</f>
        <v>mA</v>
      </c>
      <c r="D48" s="11"/>
      <c r="E48" s="12" t="s">
        <v>28</v>
      </c>
      <c r="F48" s="11"/>
      <c r="G48" s="12" t="s">
        <v>88</v>
      </c>
      <c r="H48" s="178"/>
      <c r="I48" s="180"/>
      <c r="J48" s="11"/>
      <c r="K48" s="12" t="str">
        <f>IF($G$42=DB!$AX$2,"mA","mW")</f>
        <v>mA</v>
      </c>
      <c r="L48" s="11"/>
      <c r="M48" s="12" t="s">
        <v>27</v>
      </c>
      <c r="N48" s="175"/>
      <c r="O48" s="176"/>
      <c r="P48" s="177"/>
      <c r="R48" s="30"/>
      <c r="S48" s="30">
        <f>(B48*VLOOKUP(C48,DB!$AN$2:$AO$8,2,FALSE))</f>
        <v>0</v>
      </c>
      <c r="T48" s="31">
        <f>D48*VLOOKUP(E48,DB!$AL$2:$AM$10,2,FALSE)</f>
        <v>0</v>
      </c>
      <c r="U48" s="31">
        <f>F48*VLOOKUP(G48,DB!$AL$2:$AM$10,2,FALSE)</f>
        <v>0</v>
      </c>
      <c r="V48" s="30">
        <f t="shared" si="0"/>
        <v>0</v>
      </c>
      <c r="W48" s="30"/>
    </row>
    <row r="49" spans="1:23" x14ac:dyDescent="0.3">
      <c r="A49" s="6" t="s">
        <v>462</v>
      </c>
      <c r="B49" s="11"/>
      <c r="C49" s="12" t="str">
        <f>IF($G$42=DB!$AX$2,"mA","mW")</f>
        <v>mA</v>
      </c>
      <c r="D49" s="11"/>
      <c r="E49" s="12" t="s">
        <v>28</v>
      </c>
      <c r="F49" s="11"/>
      <c r="G49" s="12" t="s">
        <v>88</v>
      </c>
      <c r="H49" s="178"/>
      <c r="I49" s="180"/>
      <c r="J49" s="11"/>
      <c r="K49" s="12" t="str">
        <f>IF($G$42=DB!$AX$2,"mA","mW")</f>
        <v>mA</v>
      </c>
      <c r="L49" s="11"/>
      <c r="M49" s="12" t="s">
        <v>27</v>
      </c>
      <c r="N49" s="175"/>
      <c r="O49" s="176"/>
      <c r="P49" s="177"/>
      <c r="R49" s="30"/>
      <c r="S49" s="30">
        <f>(B49*VLOOKUP(C49,DB!$AN$2:$AO$8,2,FALSE))</f>
        <v>0</v>
      </c>
      <c r="T49" s="31">
        <f>D49*VLOOKUP(E49,DB!$AL$2:$AM$10,2,FALSE)</f>
        <v>0</v>
      </c>
      <c r="U49" s="31">
        <f>F49*VLOOKUP(G49,DB!$AL$2:$AM$10,2,FALSE)</f>
        <v>0</v>
      </c>
      <c r="V49" s="30">
        <f t="shared" si="0"/>
        <v>0</v>
      </c>
      <c r="W49" s="30"/>
    </row>
    <row r="50" spans="1:23" x14ac:dyDescent="0.3">
      <c r="A50" s="6" t="s">
        <v>461</v>
      </c>
      <c r="B50" s="11"/>
      <c r="C50" s="12" t="str">
        <f>IF($G$42=DB!$AX$2,"mA","mW")</f>
        <v>mA</v>
      </c>
      <c r="D50" s="11"/>
      <c r="E50" s="12" t="s">
        <v>28</v>
      </c>
      <c r="F50" s="11"/>
      <c r="G50" s="12" t="s">
        <v>88</v>
      </c>
      <c r="H50" s="178"/>
      <c r="I50" s="180"/>
      <c r="J50" s="11"/>
      <c r="K50" s="12" t="str">
        <f>IF($G$42=DB!$AX$2,"mA","mW")</f>
        <v>mA</v>
      </c>
      <c r="L50" s="11"/>
      <c r="M50" s="12" t="s">
        <v>27</v>
      </c>
      <c r="N50" s="175"/>
      <c r="O50" s="176"/>
      <c r="P50" s="177"/>
      <c r="R50" s="30"/>
      <c r="S50" s="30">
        <f>(B50*VLOOKUP(C50,DB!$AN$2:$AO$8,2,FALSE))</f>
        <v>0</v>
      </c>
      <c r="T50" s="31">
        <f>D50*VLOOKUP(E50,DB!$AL$2:$AM$10,2,FALSE)</f>
        <v>0</v>
      </c>
      <c r="U50" s="31">
        <f>F50*VLOOKUP(G50,DB!$AL$2:$AM$10,2,FALSE)</f>
        <v>0</v>
      </c>
      <c r="V50" s="30">
        <f t="shared" si="0"/>
        <v>0</v>
      </c>
      <c r="W50" s="30"/>
    </row>
    <row r="51" spans="1:23" x14ac:dyDescent="0.3">
      <c r="A51" s="6" t="s">
        <v>460</v>
      </c>
      <c r="B51" s="11"/>
      <c r="C51" s="12" t="str">
        <f>IF($G$42=DB!$AX$2,"mA","mW")</f>
        <v>mA</v>
      </c>
      <c r="D51" s="11"/>
      <c r="E51" s="12" t="s">
        <v>28</v>
      </c>
      <c r="F51" s="11"/>
      <c r="G51" s="12" t="s">
        <v>88</v>
      </c>
      <c r="H51" s="178"/>
      <c r="I51" s="180"/>
      <c r="J51" s="11"/>
      <c r="K51" s="12" t="str">
        <f>IF($G$42=DB!$AX$2,"mA","mW")</f>
        <v>mA</v>
      </c>
      <c r="L51" s="11"/>
      <c r="M51" s="12" t="s">
        <v>27</v>
      </c>
      <c r="N51" s="175"/>
      <c r="O51" s="176"/>
      <c r="P51" s="177"/>
      <c r="R51" s="30"/>
      <c r="S51" s="30">
        <f>(B51*VLOOKUP(C51,DB!$AN$2:$AO$8,2,FALSE))</f>
        <v>0</v>
      </c>
      <c r="T51" s="31">
        <f>D51*VLOOKUP(E51,DB!$AL$2:$AM$10,2,FALSE)</f>
        <v>0</v>
      </c>
      <c r="U51" s="31">
        <f>F51*VLOOKUP(G51,DB!$AL$2:$AM$10,2,FALSE)</f>
        <v>0</v>
      </c>
      <c r="V51" s="30">
        <f t="shared" si="0"/>
        <v>0</v>
      </c>
      <c r="W51" s="30"/>
    </row>
    <row r="52" spans="1:23" x14ac:dyDescent="0.3">
      <c r="A52" s="6" t="s">
        <v>459</v>
      </c>
      <c r="B52" s="11"/>
      <c r="C52" s="12" t="str">
        <f>IF($G$42=DB!$AX$2,"mA","mW")</f>
        <v>mA</v>
      </c>
      <c r="D52" s="11"/>
      <c r="E52" s="12" t="s">
        <v>28</v>
      </c>
      <c r="F52" s="11"/>
      <c r="G52" s="12" t="s">
        <v>88</v>
      </c>
      <c r="H52" s="178"/>
      <c r="I52" s="180"/>
      <c r="J52" s="11"/>
      <c r="K52" s="12" t="str">
        <f>IF($G$42=DB!$AX$2,"mA","mW")</f>
        <v>mA</v>
      </c>
      <c r="L52" s="11"/>
      <c r="M52" s="12" t="s">
        <v>27</v>
      </c>
      <c r="N52" s="175"/>
      <c r="O52" s="176"/>
      <c r="P52" s="177"/>
      <c r="R52" s="30"/>
      <c r="S52" s="30">
        <f>(B52*VLOOKUP(C52,DB!$AN$2:$AO$8,2,FALSE))</f>
        <v>0</v>
      </c>
      <c r="T52" s="31">
        <f>D52*VLOOKUP(E52,DB!$AL$2:$AM$10,2,FALSE)</f>
        <v>0</v>
      </c>
      <c r="U52" s="31">
        <f>F52*VLOOKUP(G52,DB!$AL$2:$AM$10,2,FALSE)</f>
        <v>0</v>
      </c>
      <c r="V52" s="30">
        <f t="shared" si="0"/>
        <v>0</v>
      </c>
      <c r="W52" s="30"/>
    </row>
    <row r="53" spans="1:23" x14ac:dyDescent="0.3">
      <c r="A53" s="6" t="s">
        <v>458</v>
      </c>
      <c r="B53" s="11"/>
      <c r="C53" s="12" t="str">
        <f>IF($G$42=DB!$AX$2,"mA","mW")</f>
        <v>mA</v>
      </c>
      <c r="D53" s="11"/>
      <c r="E53" s="12" t="s">
        <v>28</v>
      </c>
      <c r="F53" s="11"/>
      <c r="G53" s="12" t="s">
        <v>88</v>
      </c>
      <c r="H53" s="178"/>
      <c r="I53" s="180"/>
      <c r="J53" s="11"/>
      <c r="K53" s="12" t="str">
        <f>IF($G$42=DB!$AX$2,"mA","mW")</f>
        <v>mA</v>
      </c>
      <c r="L53" s="11"/>
      <c r="M53" s="12" t="s">
        <v>27</v>
      </c>
      <c r="N53" s="175"/>
      <c r="O53" s="176"/>
      <c r="P53" s="177"/>
      <c r="R53" s="30"/>
      <c r="S53" s="30">
        <f>(B53*VLOOKUP(C53,DB!$AN$2:$AO$8,2,FALSE))</f>
        <v>0</v>
      </c>
      <c r="T53" s="31">
        <f>D53*VLOOKUP(E53,DB!$AL$2:$AM$10,2,FALSE)</f>
        <v>0</v>
      </c>
      <c r="U53" s="31">
        <f>F53*VLOOKUP(G53,DB!$AL$2:$AM$10,2,FALSE)</f>
        <v>0</v>
      </c>
      <c r="V53" s="30">
        <f t="shared" si="0"/>
        <v>0</v>
      </c>
      <c r="W53" s="30"/>
    </row>
    <row r="54" spans="1:23" x14ac:dyDescent="0.3">
      <c r="A54" s="6" t="s">
        <v>457</v>
      </c>
      <c r="B54" s="11"/>
      <c r="C54" s="12" t="str">
        <f>IF($G$42=DB!$AX$2,"mA","mW")</f>
        <v>mA</v>
      </c>
      <c r="D54" s="11"/>
      <c r="E54" s="12" t="s">
        <v>28</v>
      </c>
      <c r="F54" s="11"/>
      <c r="G54" s="12" t="s">
        <v>88</v>
      </c>
      <c r="H54" s="178"/>
      <c r="I54" s="180"/>
      <c r="J54" s="11"/>
      <c r="K54" s="12" t="str">
        <f>IF($G$42=DB!$AX$2,"mA","mW")</f>
        <v>mA</v>
      </c>
      <c r="L54" s="11"/>
      <c r="M54" s="12" t="s">
        <v>27</v>
      </c>
      <c r="N54" s="178"/>
      <c r="O54" s="179"/>
      <c r="P54" s="180"/>
      <c r="R54" s="30"/>
      <c r="S54" s="30">
        <f>(B54*VLOOKUP(C54,DB!$AN$2:$AO$8,2,FALSE))</f>
        <v>0</v>
      </c>
      <c r="T54" s="31">
        <f>D54*VLOOKUP(E54,DB!$AL$2:$AM$10,2,FALSE)</f>
        <v>0</v>
      </c>
      <c r="U54" s="31">
        <f>F54*VLOOKUP(G54,DB!$AL$2:$AM$10,2,FALSE)</f>
        <v>0</v>
      </c>
      <c r="V54" s="30">
        <f t="shared" si="0"/>
        <v>0</v>
      </c>
      <c r="W54" s="30"/>
    </row>
    <row r="55" spans="1:23" ht="31.2" customHeight="1" x14ac:dyDescent="0.3">
      <c r="A55" s="5"/>
      <c r="B55" s="181" t="s">
        <v>733</v>
      </c>
      <c r="C55" s="181"/>
      <c r="D55" s="181"/>
      <c r="E55" s="181"/>
      <c r="F55" s="181"/>
      <c r="G55" s="181"/>
      <c r="H55" s="181"/>
      <c r="I55" s="181"/>
      <c r="J55" s="181"/>
      <c r="K55" s="181"/>
      <c r="L55" s="181"/>
      <c r="M55" s="181"/>
      <c r="N55" s="181"/>
      <c r="O55" s="181"/>
      <c r="P55" s="181"/>
      <c r="R55" s="30"/>
      <c r="S55" s="30"/>
      <c r="T55" s="30"/>
      <c r="U55" s="30"/>
      <c r="V55" s="30"/>
      <c r="W55" s="30"/>
    </row>
    <row r="56" spans="1:23" ht="18" customHeight="1" x14ac:dyDescent="0.3">
      <c r="A56" s="5"/>
      <c r="C56" s="6"/>
      <c r="D56" s="6"/>
      <c r="E56" s="6" t="s">
        <v>469</v>
      </c>
      <c r="F56" s="23">
        <f>V42+SUM(V45:V54)</f>
        <v>0</v>
      </c>
      <c r="G56" s="32" t="str">
        <f>IF($G$42=DB!$AX$2,"µA","µW")</f>
        <v>µA</v>
      </c>
      <c r="H56" s="21"/>
      <c r="J56" s="21"/>
      <c r="K56" s="21"/>
      <c r="N56" s="21"/>
      <c r="O56" s="21"/>
      <c r="P56" s="21"/>
    </row>
    <row r="57" spans="1:23" ht="18" customHeight="1" x14ac:dyDescent="0.3">
      <c r="A57" s="5"/>
      <c r="B57" s="5"/>
      <c r="C57" s="5"/>
      <c r="D57" s="5"/>
      <c r="E57" s="6" t="str">
        <f>IF($B$40=DB!$AU$3,"Consumption during autonomy time","Consumption during operating life")</f>
        <v>Consumption during operating life</v>
      </c>
      <c r="F57" s="23">
        <f>IF($B$40=DB!$AU$3,B63*VLOOKUP(C63,DB!$AL$2:$AM$10,2,FALSE)*F56*VLOOKUP(G56,DB!$AN$2:$AO$8,2,FALSE)/3600,B38*VLOOKUP(C38,DB!$AL$2:$AM$10,2,FALSE)*F56*VLOOKUP(G56,DB!$AN$2:$AO$8,2,FALSE)/3600)</f>
        <v>0</v>
      </c>
      <c r="G57" s="32" t="str">
        <f>IF(OR(G56=DB!AN2,G56=DB!AN3,G56=DB!AN4),"mAh","mWh")</f>
        <v>mAh</v>
      </c>
      <c r="H57" s="21"/>
      <c r="J57" s="21"/>
      <c r="K57" s="21"/>
      <c r="M57" s="6" t="s">
        <v>558</v>
      </c>
      <c r="N57" s="170"/>
      <c r="O57" s="182"/>
      <c r="P57" s="171"/>
    </row>
    <row r="58" spans="1:23" ht="18" customHeight="1" x14ac:dyDescent="0.3">
      <c r="A58" s="5"/>
      <c r="B58" s="5"/>
      <c r="C58" s="5"/>
      <c r="D58" s="5"/>
      <c r="E58" s="6" t="s">
        <v>829</v>
      </c>
      <c r="F58" s="24">
        <f>IF($B$40=DB!$AU$3,(F57)/1000,(F57+O37)/1000)</f>
        <v>0</v>
      </c>
      <c r="G58" s="32" t="str">
        <f>IF($G$42=DB!$AX$2,"Ah","Wh")</f>
        <v>Ah</v>
      </c>
      <c r="H58" s="21"/>
      <c r="J58" s="21"/>
      <c r="M58" s="6" t="s">
        <v>486</v>
      </c>
      <c r="N58" s="170"/>
      <c r="O58" s="171"/>
      <c r="P58" s="110" t="str">
        <f>IF($G$42=DB!$AX$2,"Ah","Wh")</f>
        <v>Ah</v>
      </c>
    </row>
    <row r="59" spans="1:23" x14ac:dyDescent="0.3">
      <c r="A59" s="13" t="s">
        <v>52</v>
      </c>
      <c r="B59" s="114" t="str">
        <f>IF(AND(B40="Rechargeable",OR(B60="",B61="",B63="")),"This information is mandatory to propose a rechargeable solution. If needed, provide details in Section 6.","")</f>
        <v/>
      </c>
      <c r="H59" s="5"/>
      <c r="I59" s="5"/>
      <c r="J59" s="5"/>
      <c r="K59" s="5"/>
      <c r="L59" s="5"/>
      <c r="M59" s="22"/>
      <c r="N59" s="5"/>
      <c r="O59" s="5"/>
      <c r="P59" s="5"/>
    </row>
    <row r="60" spans="1:23" x14ac:dyDescent="0.3">
      <c r="A60" s="6" t="str">
        <f>IF(B40="Rechargeable", "Number of cycles needed","")</f>
        <v/>
      </c>
      <c r="B60" s="11"/>
      <c r="C60" s="5"/>
      <c r="D60" s="5"/>
      <c r="E60" s="5"/>
      <c r="F60" s="232" t="str">
        <f>IF(B40="Rechargeable", "Charging  temperature","")</f>
        <v/>
      </c>
      <c r="G60" s="232"/>
      <c r="H60" s="232"/>
      <c r="I60" s="232"/>
      <c r="J60" s="232"/>
      <c r="K60" s="7"/>
      <c r="L60" s="5"/>
    </row>
    <row r="61" spans="1:23" x14ac:dyDescent="0.3">
      <c r="A61" s="6" t="str">
        <f>IF(B40="Rechargeable", "Depth of Discharge for each cycle","")</f>
        <v/>
      </c>
      <c r="B61" s="11"/>
      <c r="C61" s="5" t="str">
        <f>IF(B40="Rechargeable", "%","")</f>
        <v/>
      </c>
      <c r="D61" s="5"/>
      <c r="E61" s="5"/>
      <c r="G61" s="6" t="str">
        <f>IF(B40="Rechargeable", "Max.","")</f>
        <v/>
      </c>
      <c r="H61" s="11"/>
      <c r="I61" s="5" t="str">
        <f>IF(B40="Rechargeable", "°C","")</f>
        <v/>
      </c>
      <c r="J61" s="5"/>
      <c r="K61" s="5"/>
    </row>
    <row r="62" spans="1:23" x14ac:dyDescent="0.3">
      <c r="A62" s="6" t="str">
        <f>IF(B40="Rechargeable", "Maximum charging current","")</f>
        <v/>
      </c>
      <c r="B62" s="11"/>
      <c r="C62" s="12" t="s">
        <v>25</v>
      </c>
      <c r="D62" s="5"/>
      <c r="E62" s="5"/>
      <c r="G62" s="6" t="str">
        <f>IF(B40="Rechargeable", "Min.","")</f>
        <v/>
      </c>
      <c r="H62" s="11"/>
      <c r="I62" s="5" t="str">
        <f>IF(B40="Rechargeable", "°C","")</f>
        <v/>
      </c>
      <c r="J62" s="5"/>
      <c r="K62" s="5"/>
    </row>
    <row r="63" spans="1:23" x14ac:dyDescent="0.3">
      <c r="A63" s="6" t="s">
        <v>523</v>
      </c>
      <c r="B63" s="11"/>
      <c r="C63" s="10" t="s">
        <v>29</v>
      </c>
      <c r="D63" s="5"/>
      <c r="E63" s="5"/>
      <c r="F63" s="5"/>
      <c r="G63" s="5"/>
      <c r="H63" s="5"/>
      <c r="I63" s="5"/>
      <c r="J63" s="5"/>
      <c r="K63" s="5"/>
      <c r="L63" s="5"/>
    </row>
    <row r="64" spans="1:23" x14ac:dyDescent="0.3">
      <c r="A64" s="6" t="str">
        <f>IF(B40="Rechargeable", "Charger type","")</f>
        <v/>
      </c>
      <c r="B64" s="254" t="s">
        <v>56</v>
      </c>
      <c r="C64" s="255"/>
      <c r="D64" s="256"/>
      <c r="E64" s="5"/>
      <c r="F64" s="29"/>
      <c r="G64" s="5"/>
      <c r="H64" s="5"/>
      <c r="I64" s="5"/>
      <c r="J64" s="5"/>
      <c r="K64" s="5"/>
      <c r="L64" s="5"/>
    </row>
    <row r="65" spans="1:19" ht="9" customHeight="1" x14ac:dyDescent="0.3">
      <c r="A65" s="5"/>
      <c r="B65" s="5"/>
      <c r="C65" s="5"/>
      <c r="D65" s="5"/>
      <c r="E65" s="5"/>
      <c r="F65" s="5"/>
      <c r="G65" s="5"/>
      <c r="H65" s="5"/>
      <c r="I65" s="5"/>
      <c r="J65" s="5"/>
      <c r="K65" s="5"/>
      <c r="L65" s="5"/>
      <c r="M65" s="5"/>
      <c r="N65" s="5"/>
      <c r="O65" s="5"/>
      <c r="P65" s="5"/>
    </row>
    <row r="66" spans="1:19" ht="21.6" thickBot="1" x14ac:dyDescent="0.45">
      <c r="A66" s="20" t="s">
        <v>10</v>
      </c>
      <c r="B66" s="9"/>
      <c r="C66" s="9"/>
      <c r="D66" s="9"/>
      <c r="E66" s="9"/>
      <c r="F66" s="9"/>
      <c r="G66" s="9"/>
      <c r="H66" s="9"/>
      <c r="I66" s="9"/>
      <c r="J66" s="9"/>
      <c r="K66" s="9"/>
      <c r="L66" s="9"/>
      <c r="M66" s="9"/>
      <c r="N66" s="9"/>
      <c r="O66" s="9"/>
      <c r="P66" s="9"/>
    </row>
    <row r="67" spans="1:19" ht="10.5" customHeight="1" thickBot="1" x14ac:dyDescent="0.35">
      <c r="A67" s="14"/>
      <c r="B67" s="5"/>
      <c r="C67" s="5"/>
      <c r="D67" s="5"/>
      <c r="E67" s="5"/>
      <c r="F67" s="5"/>
      <c r="G67" s="5"/>
      <c r="H67" s="5"/>
      <c r="I67" s="5"/>
      <c r="J67" s="5"/>
      <c r="K67" s="5"/>
      <c r="L67" s="5"/>
      <c r="M67" s="5"/>
      <c r="N67" s="5"/>
      <c r="O67" s="5"/>
      <c r="P67" s="5"/>
    </row>
    <row r="68" spans="1:19" ht="16.2" thickBot="1" x14ac:dyDescent="0.35">
      <c r="A68" s="5" t="s">
        <v>60</v>
      </c>
      <c r="B68" s="172" t="s">
        <v>32</v>
      </c>
      <c r="C68" s="173"/>
      <c r="D68" s="5"/>
      <c r="E68" s="5"/>
      <c r="F68" s="5"/>
    </row>
    <row r="69" spans="1:19" ht="9" customHeight="1" x14ac:dyDescent="0.3">
      <c r="A69" s="5"/>
      <c r="B69" s="5"/>
      <c r="C69" s="5"/>
      <c r="D69" s="5"/>
      <c r="E69" s="5"/>
      <c r="F69" s="5"/>
      <c r="P69" s="5"/>
    </row>
    <row r="70" spans="1:19" x14ac:dyDescent="0.3">
      <c r="A70" s="5" t="s">
        <v>488</v>
      </c>
      <c r="B70" s="5"/>
      <c r="C70" s="5"/>
      <c r="F70" s="5"/>
      <c r="N70" s="57" t="str">
        <f>IF(OR(I72="",I73="",I74=""),"Operating temperature is a key parameter to design an optimal battery solution and is mandatory to fill in.","")</f>
        <v>Operating temperature is a key parameter to design an optimal battery solution and is mandatory to fill in.</v>
      </c>
    </row>
    <row r="71" spans="1:19" x14ac:dyDescent="0.3">
      <c r="A71" s="14" t="s">
        <v>552</v>
      </c>
      <c r="B71" s="174" t="s">
        <v>528</v>
      </c>
      <c r="C71" s="174"/>
      <c r="D71" s="174"/>
      <c r="E71" s="174"/>
      <c r="F71" s="5"/>
      <c r="G71" s="257" t="s">
        <v>498</v>
      </c>
      <c r="H71" s="257"/>
      <c r="I71" s="257"/>
      <c r="J71" s="257"/>
      <c r="L71" s="243" t="s">
        <v>499</v>
      </c>
      <c r="M71" s="243"/>
      <c r="N71" s="243"/>
      <c r="O71" s="243"/>
      <c r="P71" s="243"/>
    </row>
    <row r="72" spans="1:19" x14ac:dyDescent="0.3">
      <c r="A72" s="5"/>
      <c r="B72" s="174" t="s">
        <v>96</v>
      </c>
      <c r="C72" s="174"/>
      <c r="D72" s="60"/>
      <c r="E72" s="32" t="s">
        <v>496</v>
      </c>
      <c r="F72" s="5"/>
      <c r="G72" s="174" t="s">
        <v>96</v>
      </c>
      <c r="H72" s="174"/>
      <c r="I72" s="60"/>
      <c r="J72" s="32" t="s">
        <v>496</v>
      </c>
      <c r="L72" s="243"/>
      <c r="M72" s="243"/>
      <c r="N72" s="243"/>
      <c r="O72" s="243"/>
      <c r="P72" s="243"/>
    </row>
    <row r="73" spans="1:19" x14ac:dyDescent="0.3">
      <c r="A73" s="5"/>
      <c r="B73" s="174" t="s">
        <v>11</v>
      </c>
      <c r="C73" s="174"/>
      <c r="D73" s="60"/>
      <c r="E73" s="32" t="s">
        <v>496</v>
      </c>
      <c r="F73" s="5"/>
      <c r="G73" s="174" t="s">
        <v>11</v>
      </c>
      <c r="H73" s="174"/>
      <c r="I73" s="60"/>
      <c r="J73" s="32" t="s">
        <v>496</v>
      </c>
    </row>
    <row r="74" spans="1:19" x14ac:dyDescent="0.3">
      <c r="A74" s="5"/>
      <c r="B74" s="174" t="s">
        <v>97</v>
      </c>
      <c r="C74" s="174"/>
      <c r="D74" s="60"/>
      <c r="E74" s="32" t="s">
        <v>496</v>
      </c>
      <c r="F74" s="5"/>
      <c r="G74" s="174" t="s">
        <v>97</v>
      </c>
      <c r="H74" s="174"/>
      <c r="I74" s="60"/>
      <c r="J74" s="32" t="s">
        <v>496</v>
      </c>
      <c r="L74" s="174" t="s">
        <v>832</v>
      </c>
      <c r="M74" s="174"/>
      <c r="O74" s="258" t="s">
        <v>553</v>
      </c>
      <c r="P74" s="259"/>
    </row>
    <row r="75" spans="1:19" ht="15.6" customHeight="1" x14ac:dyDescent="0.3">
      <c r="A75" s="5"/>
      <c r="F75" s="249" t="s">
        <v>554</v>
      </c>
      <c r="G75" s="249"/>
      <c r="H75" s="249"/>
      <c r="I75" s="249"/>
      <c r="J75" s="60" t="s">
        <v>530</v>
      </c>
      <c r="L75" s="60">
        <f>IF(OR(I74=""), R75, I74)</f>
        <v>-40</v>
      </c>
      <c r="M75" s="33"/>
      <c r="N75" s="34" t="s">
        <v>497</v>
      </c>
      <c r="O75" s="60">
        <f>IF(OR(I74=""), S75, I74)</f>
        <v>-20</v>
      </c>
      <c r="P75" s="33"/>
      <c r="R75" s="113">
        <v>-40</v>
      </c>
      <c r="S75" s="30">
        <v>-20</v>
      </c>
    </row>
    <row r="76" spans="1:19" x14ac:dyDescent="0.3">
      <c r="A76" s="5"/>
      <c r="B76" s="189" t="s">
        <v>527</v>
      </c>
      <c r="C76" s="244"/>
      <c r="D76" s="244"/>
      <c r="E76" s="190"/>
      <c r="F76" s="5"/>
      <c r="L76" s="60" cm="1">
        <f t="array" ref="L76">IF(OR($I$72="", $I$74=""), R76,
  IFERROR(SMALL(
    IF(($R$75:$R$81&gt;$I$74)*($R$75:$R$81&lt;$I$72), $R$75:$R$81),
    ROW()-ROW($L$75)
  ), "")
)</f>
        <v>-20</v>
      </c>
      <c r="M76" s="33"/>
      <c r="N76" s="34" t="s">
        <v>497</v>
      </c>
      <c r="O76" s="60" cm="1">
        <f t="array" ref="O76">IF(OR($I$72="", $I$74=""), S76,
  IFERROR(SMALL(
    IF(($S$75:$S$81&gt;$I$74)*($S$75:$S$81&lt;$I$72), $S$75:$S$81),
    ROW()-ROW($O$75)
  ), "")
)</f>
        <v>0</v>
      </c>
      <c r="P76" s="33"/>
      <c r="R76" s="113">
        <v>-20</v>
      </c>
      <c r="S76" s="30">
        <v>0</v>
      </c>
    </row>
    <row r="77" spans="1:19" x14ac:dyDescent="0.3">
      <c r="A77" s="5"/>
      <c r="B77" s="189" t="s">
        <v>96</v>
      </c>
      <c r="C77" s="190"/>
      <c r="D77" s="60"/>
      <c r="E77" s="32" t="s">
        <v>496</v>
      </c>
      <c r="F77" s="5"/>
      <c r="G77" s="248" t="str">
        <f>IF(OR(I73&gt;40,I73&lt;0),"For harsh temperature conditions, please provide the temperature distribution details ---&gt;&gt;&gt;","")</f>
        <v/>
      </c>
      <c r="H77" s="248"/>
      <c r="I77" s="248"/>
      <c r="J77" s="248"/>
      <c r="L77" s="60" cm="1">
        <f t="array" ref="L77">IF(OR($I$72="", $I$74=""), R77,
  IFERROR(SMALL(
    IF(($R$75:$R$81&gt;$I$74)*($R$75:$R$81&lt;$I$72), $R$75:$R$81),
    ROW()-ROW($L$75)
  ), "")
)</f>
        <v>0</v>
      </c>
      <c r="M77" s="33"/>
      <c r="N77" s="34" t="s">
        <v>497</v>
      </c>
      <c r="O77" s="60" cm="1">
        <f t="array" ref="O77">IF(OR($I$72="", $I$74=""), S77,
  IFERROR(SMALL(
    IF(($S$75:$S$81&gt;$I$74)*($S$75:$S$81&lt;$I$72), $S$75:$S$81),
    ROW()-ROW($O$75)
  ), "")
)</f>
        <v>20</v>
      </c>
      <c r="P77" s="33"/>
      <c r="R77" s="113">
        <v>0</v>
      </c>
      <c r="S77" s="30">
        <v>20</v>
      </c>
    </row>
    <row r="78" spans="1:19" x14ac:dyDescent="0.3">
      <c r="A78" s="5"/>
      <c r="B78" s="174" t="s">
        <v>11</v>
      </c>
      <c r="C78" s="174"/>
      <c r="D78" s="60"/>
      <c r="E78" s="32" t="s">
        <v>496</v>
      </c>
      <c r="F78" s="5"/>
      <c r="G78" s="248"/>
      <c r="H78" s="248"/>
      <c r="I78" s="248"/>
      <c r="J78" s="248"/>
      <c r="L78" s="60" cm="1">
        <f t="array" ref="L78">IF(OR($I$72="", $I$74=""), R78,
  IFERROR(SMALL(
    IF(($R$75:$R$81&gt;$I$74)*($R$75:$R$81&lt;$I$72), $R$75:$R$81),
    ROW()-ROW($L$75)
  ), "")
)</f>
        <v>20</v>
      </c>
      <c r="M78" s="33"/>
      <c r="N78" s="34" t="s">
        <v>497</v>
      </c>
      <c r="O78" s="60" cm="1">
        <f t="array" ref="O78">IF(OR($I$72="", $I$74=""), S78,
  IFERROR(SMALL(
    IF(($S$75:$S$81&gt;$I$74)*($S$75:$S$81&lt;$I$72), $S$75:$S$81),
    ROW()-ROW($O$75)
  ), "")
)</f>
        <v>40</v>
      </c>
      <c r="P78" s="33"/>
      <c r="R78" s="113">
        <v>20</v>
      </c>
      <c r="S78" s="30">
        <v>40</v>
      </c>
    </row>
    <row r="79" spans="1:19" x14ac:dyDescent="0.3">
      <c r="A79" s="5"/>
      <c r="B79" s="174" t="s">
        <v>97</v>
      </c>
      <c r="C79" s="174"/>
      <c r="D79" s="60"/>
      <c r="E79" s="32" t="s">
        <v>496</v>
      </c>
      <c r="F79" s="5"/>
      <c r="G79" s="248"/>
      <c r="H79" s="248"/>
      <c r="I79" s="248"/>
      <c r="J79" s="248"/>
      <c r="L79" s="60" cm="1">
        <f t="array" ref="L79">IF(OR($I$72="", $I$74=""), R79,
  IFERROR(SMALL(
    IF(($R$75:$R$81&gt;$I$74)*($R$75:$R$81&lt;$I$72), $R$75:$R$81),
    ROW()-ROW($L$75)
  ), "")
)</f>
        <v>40</v>
      </c>
      <c r="M79" s="33"/>
      <c r="N79" s="34" t="s">
        <v>497</v>
      </c>
      <c r="O79" s="60" cm="1">
        <f t="array" ref="O79">IF(OR($I$72="", $I$74=""), S79,
  IFERROR(SMALL(
    IF(($S$75:$S$81&gt;$I$74)*($S$75:$S$81&lt;$I$72), $S$75:$S$81),
    ROW()-ROW($O$75)
  ), "")
)</f>
        <v>60</v>
      </c>
      <c r="P79" s="33"/>
      <c r="R79" s="113">
        <v>40</v>
      </c>
      <c r="S79" s="30">
        <v>60</v>
      </c>
    </row>
    <row r="80" spans="1:19" x14ac:dyDescent="0.3">
      <c r="A80" s="5"/>
      <c r="F80" s="5"/>
      <c r="G80" s="61" t="str">
        <f>IF(SUM(M75:M81)=0, "",
   IF(ABS(ROUND(SUMPRODUCT(L75:L81, M75:M81), 0) - I73) &lt;= 3, "",
      "Calculated Average Temperature = " &amp; ROUND(SUMPRODUCT(L75:L81, M75:M81), 0) &amp; "°C"))</f>
        <v/>
      </c>
      <c r="L80" s="60" cm="1">
        <f t="array" ref="L80">IF(OR($I$72="", $I$74=""), R80,
  IFERROR(SMALL(
    IF(($R$75:$R$81&gt;$I$74)*($R$75:$R$81&lt;$I$72), $R$75:$R$81),
    ROW()-ROW($L$75)
  ), "")
)</f>
        <v>60</v>
      </c>
      <c r="M80" s="33"/>
      <c r="N80" s="34" t="s">
        <v>497</v>
      </c>
      <c r="O80" s="60" cm="1">
        <f t="array" ref="O80">IF(OR($I$72="", $I$74=""), S80,
  IFERROR(SMALL(
    IF(($S$75:$S$81&gt;$I$74)*($S$75:$S$81&lt;$I$72), $S$75:$S$81),
    ROW()-ROW($O$75)
  ), "")
)</f>
        <v>70</v>
      </c>
      <c r="P80" s="33"/>
      <c r="R80" s="113">
        <v>60</v>
      </c>
      <c r="S80" s="30">
        <v>70</v>
      </c>
    </row>
    <row r="81" spans="1:19" x14ac:dyDescent="0.3">
      <c r="A81" s="5"/>
      <c r="B81" s="5"/>
      <c r="C81" s="5"/>
      <c r="D81" s="5"/>
      <c r="E81" s="5"/>
      <c r="F81" s="5"/>
      <c r="G81" s="61" t="str">
        <f>IF(M75+M76+M77+M78+M79+M80+M81=0,"",IF(M75+M76+M77+M78+M79+M80+M81=1,"",CONCATENATE("Total is ",ROUND(M75+M76+M77+M78+M79+M80+M81,2)*100,"%, not equal to 100%")))</f>
        <v/>
      </c>
      <c r="K81" s="5"/>
      <c r="L81" s="60">
        <f>IF(OR(I72=""), R81, I72)</f>
        <v>85</v>
      </c>
      <c r="M81" s="33"/>
      <c r="N81" s="34" t="s">
        <v>497</v>
      </c>
      <c r="O81" s="60">
        <f>IF(OR(I72=""), S81, I72)</f>
        <v>85</v>
      </c>
      <c r="P81" s="33"/>
      <c r="R81" s="113">
        <v>85</v>
      </c>
      <c r="S81" s="30">
        <v>85</v>
      </c>
    </row>
    <row r="82" spans="1:19" ht="9" customHeight="1" thickBot="1" x14ac:dyDescent="0.35">
      <c r="A82" s="5"/>
      <c r="B82" s="5"/>
      <c r="C82" s="5"/>
      <c r="D82" s="5"/>
      <c r="E82" s="5"/>
      <c r="F82" s="5"/>
      <c r="K82" s="5"/>
      <c r="L82" s="5"/>
      <c r="M82" s="5"/>
      <c r="N82" s="5"/>
      <c r="O82" s="5"/>
      <c r="P82" s="5"/>
    </row>
    <row r="83" spans="1:19" ht="16.2" thickBot="1" x14ac:dyDescent="0.35">
      <c r="A83" s="5" t="s">
        <v>493</v>
      </c>
      <c r="B83" s="245"/>
      <c r="C83" s="246"/>
      <c r="D83" s="246"/>
      <c r="E83" s="246"/>
      <c r="F83" s="246"/>
      <c r="G83" s="246"/>
      <c r="H83" s="246"/>
      <c r="I83" s="246"/>
      <c r="J83" s="246"/>
      <c r="K83" s="246"/>
      <c r="L83" s="246"/>
      <c r="M83" s="246"/>
      <c r="N83" s="247"/>
      <c r="O83" s="6" t="s">
        <v>764</v>
      </c>
      <c r="P83" s="60"/>
    </row>
    <row r="84" spans="1:19" ht="16.2" thickBot="1" x14ac:dyDescent="0.35">
      <c r="A84" s="5"/>
      <c r="B84" s="5"/>
      <c r="C84" s="5"/>
      <c r="D84" s="5"/>
      <c r="E84" s="5"/>
      <c r="F84" s="5"/>
      <c r="G84" s="5"/>
      <c r="H84" s="5"/>
      <c r="I84" s="5"/>
      <c r="J84" s="5"/>
      <c r="K84" s="5"/>
      <c r="L84" s="5"/>
      <c r="M84" s="5"/>
      <c r="N84" s="5"/>
      <c r="O84" s="5"/>
      <c r="P84" s="5"/>
    </row>
    <row r="85" spans="1:19" x14ac:dyDescent="0.3">
      <c r="A85" s="233" t="s">
        <v>67</v>
      </c>
      <c r="B85" s="234"/>
      <c r="C85" s="235"/>
      <c r="D85" s="235"/>
      <c r="E85" s="235"/>
      <c r="F85" s="235"/>
      <c r="G85" s="235"/>
      <c r="H85" s="235"/>
      <c r="I85" s="235"/>
      <c r="J85" s="235"/>
      <c r="K85" s="235"/>
      <c r="L85" s="235"/>
      <c r="M85" s="235"/>
      <c r="N85" s="235"/>
      <c r="O85" s="235"/>
      <c r="P85" s="236"/>
    </row>
    <row r="86" spans="1:19" ht="16.2" thickBot="1" x14ac:dyDescent="0.35">
      <c r="A86" s="233"/>
      <c r="B86" s="237"/>
      <c r="C86" s="238"/>
      <c r="D86" s="238"/>
      <c r="E86" s="238"/>
      <c r="F86" s="238"/>
      <c r="G86" s="238"/>
      <c r="H86" s="238"/>
      <c r="I86" s="238"/>
      <c r="J86" s="238"/>
      <c r="K86" s="238"/>
      <c r="L86" s="238"/>
      <c r="M86" s="238"/>
      <c r="N86" s="238"/>
      <c r="O86" s="238"/>
      <c r="P86" s="239"/>
    </row>
    <row r="87" spans="1:19" x14ac:dyDescent="0.3">
      <c r="A87" s="5"/>
      <c r="B87" s="5"/>
      <c r="C87" s="5"/>
      <c r="D87" s="5"/>
      <c r="E87" s="5"/>
      <c r="F87" s="5"/>
      <c r="G87" s="5"/>
      <c r="H87" s="5"/>
      <c r="I87" s="5"/>
      <c r="J87" s="5"/>
      <c r="K87" s="5"/>
      <c r="L87" s="5"/>
      <c r="M87" s="5"/>
      <c r="N87" s="5"/>
      <c r="O87" s="5"/>
      <c r="P87" s="5"/>
    </row>
    <row r="88" spans="1:19" x14ac:dyDescent="0.3">
      <c r="A88" s="5"/>
      <c r="B88" s="5"/>
      <c r="C88" s="5"/>
      <c r="D88" s="5"/>
      <c r="E88" s="5"/>
      <c r="F88" s="5"/>
      <c r="G88" s="5"/>
      <c r="H88" s="5"/>
      <c r="I88" s="5"/>
      <c r="J88" s="5"/>
      <c r="K88" s="5"/>
      <c r="L88" s="5"/>
      <c r="M88" s="5"/>
      <c r="N88" s="5"/>
      <c r="O88" s="5"/>
      <c r="P88" s="5"/>
    </row>
    <row r="89" spans="1:19" ht="21.6" thickBot="1" x14ac:dyDescent="0.45">
      <c r="A89" s="20" t="s">
        <v>23</v>
      </c>
      <c r="B89" s="9"/>
      <c r="C89" s="9"/>
      <c r="D89" s="9"/>
      <c r="E89" s="9"/>
      <c r="F89" s="9"/>
      <c r="G89" s="9"/>
      <c r="H89" s="9"/>
      <c r="I89" s="9"/>
      <c r="J89" s="9"/>
      <c r="K89" s="9"/>
      <c r="L89" s="9"/>
      <c r="M89" s="9"/>
      <c r="N89" s="9"/>
      <c r="O89" s="9"/>
      <c r="P89" s="9"/>
    </row>
    <row r="90" spans="1:19" ht="16.2" thickBot="1" x14ac:dyDescent="0.35">
      <c r="A90" s="5"/>
      <c r="B90" s="5"/>
      <c r="C90" s="5"/>
      <c r="D90" s="5"/>
      <c r="E90" s="5"/>
      <c r="F90" s="5"/>
      <c r="G90" s="5"/>
      <c r="H90" s="5"/>
      <c r="I90" s="5"/>
      <c r="J90" s="5"/>
      <c r="K90" s="5"/>
      <c r="L90" s="5"/>
      <c r="M90" s="5"/>
      <c r="N90" s="5"/>
      <c r="O90" s="5"/>
      <c r="P90" s="5"/>
    </row>
    <row r="91" spans="1:19" ht="16.2" thickBot="1" x14ac:dyDescent="0.35">
      <c r="A91" s="5" t="s">
        <v>12</v>
      </c>
      <c r="B91" s="5" t="s">
        <v>13</v>
      </c>
      <c r="C91" s="5"/>
      <c r="D91" s="8"/>
      <c r="E91" s="15" t="s">
        <v>25</v>
      </c>
      <c r="F91" s="5"/>
      <c r="G91" s="5"/>
      <c r="H91" s="5"/>
      <c r="I91" s="5"/>
      <c r="J91" s="5"/>
      <c r="K91" s="5"/>
      <c r="L91" s="5"/>
    </row>
    <row r="92" spans="1:19" ht="16.2" thickBot="1" x14ac:dyDescent="0.35">
      <c r="A92" s="5"/>
      <c r="B92" s="5" t="s">
        <v>14</v>
      </c>
      <c r="C92" s="5"/>
      <c r="D92" s="8"/>
      <c r="E92" s="15" t="s">
        <v>25</v>
      </c>
      <c r="F92" s="5"/>
      <c r="G92" s="5"/>
      <c r="H92" s="5"/>
      <c r="I92" s="5"/>
      <c r="J92" s="5"/>
      <c r="K92" s="5"/>
      <c r="L92" s="5"/>
    </row>
    <row r="93" spans="1:19" ht="16.2" thickBot="1" x14ac:dyDescent="0.35">
      <c r="A93" s="5"/>
      <c r="B93" s="5" t="s">
        <v>15</v>
      </c>
      <c r="C93" s="5"/>
      <c r="D93" s="8"/>
      <c r="E93" s="15" t="s">
        <v>25</v>
      </c>
      <c r="F93" s="5"/>
      <c r="G93" s="5"/>
      <c r="H93" s="5"/>
      <c r="I93" s="5"/>
      <c r="J93" s="5"/>
      <c r="K93" s="5"/>
      <c r="L93" s="5"/>
    </row>
    <row r="94" spans="1:19" ht="16.2" thickBot="1" x14ac:dyDescent="0.35">
      <c r="A94" s="5"/>
      <c r="B94" s="5" t="s">
        <v>16</v>
      </c>
      <c r="C94" s="5"/>
      <c r="D94" s="8"/>
      <c r="E94" s="15" t="s">
        <v>25</v>
      </c>
      <c r="F94" s="5"/>
      <c r="G94" s="5"/>
      <c r="H94" s="5"/>
      <c r="I94" s="5"/>
      <c r="J94" s="5"/>
      <c r="K94" s="5"/>
      <c r="L94" s="5"/>
    </row>
    <row r="95" spans="1:19" ht="16.2" thickBot="1" x14ac:dyDescent="0.35">
      <c r="A95" s="5"/>
      <c r="B95" s="5"/>
      <c r="C95" s="5"/>
      <c r="D95" s="5"/>
      <c r="E95" s="5"/>
      <c r="F95" s="5"/>
      <c r="G95" s="5"/>
      <c r="H95" s="5"/>
      <c r="I95" s="5"/>
      <c r="J95" s="5"/>
      <c r="K95" s="5"/>
      <c r="L95" s="5"/>
      <c r="M95" s="5"/>
    </row>
    <row r="96" spans="1:19" ht="16.2" thickBot="1" x14ac:dyDescent="0.35">
      <c r="A96" s="5" t="s">
        <v>507</v>
      </c>
      <c r="B96" s="5" t="s">
        <v>62</v>
      </c>
      <c r="C96" s="5"/>
      <c r="D96" s="186" t="s">
        <v>95</v>
      </c>
      <c r="E96" s="187"/>
      <c r="F96" s="187"/>
      <c r="G96" s="187"/>
      <c r="H96" s="187"/>
      <c r="I96" s="188"/>
      <c r="J96" s="5"/>
      <c r="L96" s="5"/>
    </row>
    <row r="97" spans="1:16" ht="5.4" customHeight="1" thickBot="1" x14ac:dyDescent="0.35">
      <c r="A97" s="5"/>
      <c r="B97" s="5"/>
      <c r="C97" s="5"/>
      <c r="D97" s="5"/>
      <c r="E97" s="5"/>
      <c r="F97" s="5"/>
      <c r="G97" s="5"/>
      <c r="H97" s="5"/>
      <c r="I97" s="5"/>
      <c r="J97" s="5"/>
      <c r="K97" s="5"/>
      <c r="L97" s="5"/>
      <c r="M97" s="5"/>
    </row>
    <row r="98" spans="1:16" ht="16.2" customHeight="1" thickBot="1" x14ac:dyDescent="0.35">
      <c r="A98" s="248" t="str">
        <f>IF(D96=DB!BD4,"A battery holder is not recommended for applications requiring high-quality and reliable battery performance.","")</f>
        <v/>
      </c>
      <c r="B98" s="5" t="s">
        <v>508</v>
      </c>
      <c r="D98" s="186"/>
      <c r="E98" s="188"/>
      <c r="F98" s="5"/>
    </row>
    <row r="99" spans="1:16" ht="7.2" customHeight="1" thickBot="1" x14ac:dyDescent="0.35">
      <c r="A99" s="248"/>
      <c r="L99" s="5"/>
    </row>
    <row r="100" spans="1:16" ht="16.2" thickBot="1" x14ac:dyDescent="0.35">
      <c r="A100" s="248"/>
      <c r="B100" s="5" t="s">
        <v>17</v>
      </c>
      <c r="C100" s="5"/>
      <c r="D100" s="109"/>
      <c r="E100" s="15" t="s">
        <v>25</v>
      </c>
      <c r="F100" s="5"/>
      <c r="I100" s="6" t="s">
        <v>510</v>
      </c>
      <c r="J100" s="58"/>
      <c r="K100" s="5"/>
      <c r="L100" s="5"/>
      <c r="M100" s="27" t="s">
        <v>509</v>
      </c>
      <c r="N100" s="191"/>
      <c r="O100" s="199"/>
      <c r="P100" s="192"/>
    </row>
    <row r="101" spans="1:16" ht="16.2" thickBot="1" x14ac:dyDescent="0.35">
      <c r="A101" s="248"/>
      <c r="B101" s="5"/>
      <c r="C101" s="5"/>
      <c r="D101" s="5"/>
      <c r="E101" s="5"/>
      <c r="F101" s="5"/>
      <c r="G101" s="5"/>
      <c r="H101" s="5"/>
      <c r="I101" s="5"/>
      <c r="J101" s="5"/>
      <c r="K101" s="5"/>
      <c r="L101" s="5"/>
      <c r="M101" s="5"/>
    </row>
    <row r="102" spans="1:16" ht="16.2" thickBot="1" x14ac:dyDescent="0.35">
      <c r="A102" s="5" t="s">
        <v>18</v>
      </c>
      <c r="B102" s="5" t="s">
        <v>61</v>
      </c>
      <c r="C102" s="5"/>
      <c r="D102" s="109"/>
      <c r="E102" s="15" t="s">
        <v>25</v>
      </c>
      <c r="F102" s="5"/>
      <c r="G102" s="5"/>
      <c r="H102" s="5"/>
      <c r="I102" s="5"/>
      <c r="J102" s="5"/>
      <c r="K102" s="5"/>
      <c r="L102" s="5"/>
    </row>
    <row r="103" spans="1:16" x14ac:dyDescent="0.3">
      <c r="A103" s="5"/>
      <c r="B103" s="5"/>
      <c r="C103" s="5"/>
      <c r="D103" s="5"/>
      <c r="E103" s="5"/>
      <c r="F103" s="5"/>
      <c r="G103" s="5"/>
      <c r="H103" s="5"/>
      <c r="I103" s="5"/>
      <c r="J103" s="5"/>
      <c r="K103" s="5"/>
      <c r="L103" s="5"/>
      <c r="M103" s="5"/>
      <c r="N103" s="7"/>
      <c r="O103" s="7"/>
      <c r="P103" s="5"/>
    </row>
    <row r="104" spans="1:16" x14ac:dyDescent="0.3">
      <c r="A104" s="5"/>
      <c r="B104" s="5"/>
      <c r="C104" s="5"/>
      <c r="D104" s="5"/>
      <c r="E104" s="5"/>
      <c r="F104" s="5"/>
      <c r="G104" s="5"/>
      <c r="H104" s="5"/>
      <c r="I104" s="5"/>
      <c r="J104" s="5"/>
      <c r="K104" s="5"/>
      <c r="L104" s="5"/>
      <c r="M104" s="5"/>
      <c r="N104" s="5"/>
      <c r="O104" s="5"/>
      <c r="P104" s="5"/>
    </row>
    <row r="105" spans="1:16" ht="21.6" thickBot="1" x14ac:dyDescent="0.45">
      <c r="A105" s="20" t="s">
        <v>24</v>
      </c>
      <c r="B105" s="9"/>
      <c r="C105" s="9"/>
      <c r="D105" s="9"/>
      <c r="E105" s="9"/>
      <c r="F105" s="9"/>
      <c r="G105" s="9"/>
      <c r="H105" s="9"/>
      <c r="I105" s="9"/>
      <c r="J105" s="9"/>
      <c r="K105" s="9"/>
      <c r="L105" s="9"/>
      <c r="M105" s="9"/>
      <c r="N105" s="9"/>
      <c r="O105" s="9"/>
      <c r="P105" s="9"/>
    </row>
    <row r="106" spans="1:16" ht="21" customHeight="1" thickBot="1" x14ac:dyDescent="0.35">
      <c r="A106" s="5" t="s">
        <v>421</v>
      </c>
      <c r="B106" s="5"/>
      <c r="C106" s="5"/>
      <c r="D106" s="5"/>
      <c r="E106" s="5"/>
      <c r="F106" s="5"/>
      <c r="G106" s="5"/>
      <c r="H106" s="5"/>
      <c r="I106" s="7" t="s">
        <v>492</v>
      </c>
      <c r="J106" s="5"/>
      <c r="K106" s="5"/>
      <c r="N106" s="5"/>
      <c r="O106" s="5"/>
      <c r="P106" s="5"/>
    </row>
    <row r="107" spans="1:16" ht="16.2" thickBot="1" x14ac:dyDescent="0.35">
      <c r="C107" s="6" t="s">
        <v>531</v>
      </c>
      <c r="D107" s="191"/>
      <c r="E107" s="192"/>
      <c r="F107" s="15" t="s">
        <v>39</v>
      </c>
      <c r="G107" s="5"/>
      <c r="H107" s="6" t="s">
        <v>489</v>
      </c>
      <c r="I107" s="15" t="s">
        <v>92</v>
      </c>
      <c r="J107" s="6" t="s">
        <v>490</v>
      </c>
      <c r="K107" s="15" t="s">
        <v>92</v>
      </c>
    </row>
    <row r="108" spans="1:16" ht="7.2" customHeight="1" thickBot="1" x14ac:dyDescent="0.35">
      <c r="A108" s="5"/>
      <c r="B108" s="6"/>
      <c r="C108" s="6"/>
      <c r="D108" s="5"/>
      <c r="F108" s="5"/>
      <c r="G108" s="5"/>
      <c r="H108" s="5"/>
      <c r="I108" s="5"/>
      <c r="J108" s="5"/>
      <c r="K108" s="5"/>
    </row>
    <row r="109" spans="1:16" ht="16.2" thickBot="1" x14ac:dyDescent="0.35">
      <c r="A109" s="5"/>
      <c r="C109" s="6" t="s">
        <v>422</v>
      </c>
      <c r="D109" s="191"/>
      <c r="E109" s="192"/>
      <c r="F109" s="15" t="s">
        <v>39</v>
      </c>
      <c r="G109" s="5"/>
      <c r="H109" s="6" t="s">
        <v>491</v>
      </c>
      <c r="I109" s="15" t="s">
        <v>92</v>
      </c>
      <c r="J109" s="5"/>
    </row>
    <row r="110" spans="1:16" ht="16.2" thickBot="1" x14ac:dyDescent="0.35">
      <c r="A110" s="5"/>
      <c r="C110" s="6" t="s">
        <v>830</v>
      </c>
      <c r="D110" s="191"/>
      <c r="E110" s="192"/>
      <c r="F110" s="15" t="s">
        <v>39</v>
      </c>
      <c r="G110" s="5"/>
      <c r="H110" s="6" t="s">
        <v>831</v>
      </c>
      <c r="I110" s="15" t="s">
        <v>92</v>
      </c>
      <c r="J110" s="5"/>
    </row>
    <row r="111" spans="1:16" ht="6.6" customHeight="1" thickBot="1" x14ac:dyDescent="0.35">
      <c r="A111" s="5"/>
      <c r="C111" s="5"/>
      <c r="D111" s="5"/>
      <c r="F111" s="5"/>
      <c r="G111" s="5"/>
      <c r="H111" s="5"/>
      <c r="I111" s="5"/>
      <c r="J111" s="5"/>
    </row>
    <row r="112" spans="1:16" ht="16.2" thickBot="1" x14ac:dyDescent="0.35">
      <c r="A112" s="5"/>
      <c r="C112" s="6" t="s">
        <v>423</v>
      </c>
      <c r="D112" s="191"/>
      <c r="E112" s="192"/>
      <c r="F112" s="15" t="s">
        <v>39</v>
      </c>
      <c r="H112" s="15" t="s">
        <v>532</v>
      </c>
      <c r="I112" s="15" t="s">
        <v>92</v>
      </c>
      <c r="J112" s="5"/>
    </row>
    <row r="113" spans="1:16" ht="16.2" thickBot="1" x14ac:dyDescent="0.35">
      <c r="A113" s="5" t="s">
        <v>19</v>
      </c>
      <c r="B113" s="5"/>
      <c r="C113" s="5"/>
      <c r="D113" s="5"/>
      <c r="E113" s="5"/>
      <c r="F113" s="5"/>
      <c r="G113" s="5"/>
      <c r="H113" s="5"/>
      <c r="I113" s="5"/>
      <c r="J113" s="5"/>
      <c r="K113" s="5"/>
      <c r="L113" s="5"/>
    </row>
    <row r="114" spans="1:16" ht="16.2" thickBot="1" x14ac:dyDescent="0.35">
      <c r="C114" s="6" t="s">
        <v>533</v>
      </c>
      <c r="D114" s="191"/>
      <c r="E114" s="192"/>
      <c r="F114" s="6" t="s">
        <v>78</v>
      </c>
      <c r="G114" s="191"/>
      <c r="H114" s="192"/>
      <c r="I114" s="6" t="s">
        <v>79</v>
      </c>
      <c r="J114" s="191"/>
      <c r="K114" s="192"/>
    </row>
    <row r="115" spans="1:16" ht="6" customHeight="1" thickBot="1" x14ac:dyDescent="0.35">
      <c r="A115" s="5"/>
      <c r="B115" s="5"/>
      <c r="C115" s="5"/>
      <c r="D115" s="5"/>
      <c r="E115" s="5"/>
      <c r="F115" s="5"/>
      <c r="G115" s="5"/>
      <c r="H115" s="5"/>
      <c r="I115" s="5"/>
      <c r="J115" s="5"/>
      <c r="K115" s="5"/>
      <c r="L115" s="5"/>
    </row>
    <row r="116" spans="1:16" ht="16.2" thickBot="1" x14ac:dyDescent="0.35">
      <c r="A116" s="5"/>
      <c r="C116" s="6" t="s">
        <v>76</v>
      </c>
      <c r="D116" s="8"/>
      <c r="E116" s="191" t="s">
        <v>77</v>
      </c>
      <c r="F116" s="199"/>
      <c r="G116" s="192"/>
      <c r="H116" s="5"/>
      <c r="I116" s="5"/>
      <c r="J116" s="5"/>
      <c r="K116" s="5"/>
      <c r="L116" s="5"/>
    </row>
    <row r="117" spans="1:16" ht="16.2" thickBot="1" x14ac:dyDescent="0.35">
      <c r="A117" s="5"/>
      <c r="B117" s="5"/>
      <c r="C117" s="5"/>
      <c r="D117" s="5"/>
      <c r="E117" s="5"/>
      <c r="F117" s="5"/>
      <c r="G117" s="5"/>
      <c r="H117" s="5"/>
      <c r="I117" s="5"/>
      <c r="J117" s="5"/>
      <c r="K117" s="5"/>
      <c r="L117" s="5"/>
      <c r="M117" s="5"/>
      <c r="N117" s="5"/>
      <c r="O117" s="5"/>
      <c r="P117" s="5"/>
    </row>
    <row r="118" spans="1:16" ht="16.2" thickBot="1" x14ac:dyDescent="0.35">
      <c r="A118" s="5" t="s">
        <v>63</v>
      </c>
      <c r="B118" s="191"/>
      <c r="C118" s="199"/>
      <c r="D118" s="199"/>
      <c r="E118" s="199"/>
      <c r="F118" s="199"/>
      <c r="G118" s="199"/>
      <c r="H118" s="199"/>
      <c r="I118" s="199"/>
      <c r="J118" s="199"/>
      <c r="K118" s="199"/>
      <c r="L118" s="199"/>
      <c r="M118" s="199"/>
      <c r="N118" s="199"/>
      <c r="O118" s="199"/>
      <c r="P118" s="192"/>
    </row>
    <row r="119" spans="1:16" x14ac:dyDescent="0.3">
      <c r="A119" s="5"/>
      <c r="B119" s="5"/>
      <c r="C119" s="5"/>
      <c r="D119" s="5"/>
      <c r="E119" s="5"/>
      <c r="F119" s="5"/>
      <c r="G119" s="5"/>
      <c r="H119" s="5"/>
      <c r="I119" s="5"/>
      <c r="J119" s="5"/>
      <c r="K119" s="5"/>
      <c r="L119" s="5"/>
      <c r="M119" s="5"/>
      <c r="N119" s="5"/>
      <c r="O119" s="5"/>
      <c r="P119" s="5"/>
    </row>
    <row r="120" spans="1:16" ht="21.6" thickBot="1" x14ac:dyDescent="0.45">
      <c r="A120" s="20" t="s">
        <v>64</v>
      </c>
      <c r="B120" s="9"/>
      <c r="C120" s="9"/>
      <c r="D120" s="9"/>
      <c r="E120" s="9"/>
      <c r="F120" s="9"/>
      <c r="G120" s="9"/>
      <c r="H120" s="9"/>
      <c r="I120" s="9"/>
      <c r="J120" s="9"/>
      <c r="K120" s="9"/>
      <c r="L120" s="9"/>
      <c r="M120" s="9"/>
      <c r="N120" s="9"/>
      <c r="O120" s="9"/>
      <c r="P120" s="9"/>
    </row>
    <row r="121" spans="1:16" ht="16.2" thickBot="1" x14ac:dyDescent="0.35">
      <c r="A121" s="5"/>
      <c r="B121" s="5"/>
      <c r="C121" s="5"/>
      <c r="D121" s="5"/>
      <c r="E121" s="5"/>
      <c r="F121" s="5"/>
      <c r="G121" s="5"/>
      <c r="H121" s="5"/>
      <c r="I121" s="5"/>
      <c r="J121" s="5"/>
      <c r="K121" s="5"/>
      <c r="L121" s="5"/>
      <c r="M121" s="5"/>
      <c r="N121" s="5"/>
      <c r="O121" s="5"/>
      <c r="P121" s="5"/>
    </row>
    <row r="122" spans="1:16" x14ac:dyDescent="0.3">
      <c r="A122" s="223"/>
      <c r="B122" s="224"/>
      <c r="C122" s="224"/>
      <c r="D122" s="224"/>
      <c r="E122" s="224"/>
      <c r="F122" s="224"/>
      <c r="G122" s="224"/>
      <c r="H122" s="224"/>
      <c r="I122" s="224"/>
      <c r="J122" s="224"/>
      <c r="K122" s="224"/>
      <c r="L122" s="224"/>
      <c r="M122" s="224"/>
      <c r="N122" s="224"/>
      <c r="O122" s="224"/>
      <c r="P122" s="225"/>
    </row>
    <row r="123" spans="1:16" x14ac:dyDescent="0.3">
      <c r="A123" s="226"/>
      <c r="B123" s="227"/>
      <c r="C123" s="227"/>
      <c r="D123" s="227"/>
      <c r="E123" s="227"/>
      <c r="F123" s="227"/>
      <c r="G123" s="227"/>
      <c r="H123" s="227"/>
      <c r="I123" s="227"/>
      <c r="J123" s="227"/>
      <c r="K123" s="227"/>
      <c r="L123" s="227"/>
      <c r="M123" s="227"/>
      <c r="N123" s="227"/>
      <c r="O123" s="227"/>
      <c r="P123" s="228"/>
    </row>
    <row r="124" spans="1:16" x14ac:dyDescent="0.3">
      <c r="A124" s="226"/>
      <c r="B124" s="227"/>
      <c r="C124" s="227"/>
      <c r="D124" s="227"/>
      <c r="E124" s="227"/>
      <c r="F124" s="227"/>
      <c r="G124" s="227"/>
      <c r="H124" s="227"/>
      <c r="I124" s="227"/>
      <c r="J124" s="227"/>
      <c r="K124" s="227"/>
      <c r="L124" s="227"/>
      <c r="M124" s="227"/>
      <c r="N124" s="227"/>
      <c r="O124" s="227"/>
      <c r="P124" s="228"/>
    </row>
    <row r="125" spans="1:16" x14ac:dyDescent="0.3">
      <c r="A125" s="226"/>
      <c r="B125" s="227"/>
      <c r="C125" s="227"/>
      <c r="D125" s="227"/>
      <c r="E125" s="227"/>
      <c r="F125" s="227"/>
      <c r="G125" s="227"/>
      <c r="H125" s="227"/>
      <c r="I125" s="227"/>
      <c r="J125" s="227"/>
      <c r="K125" s="227"/>
      <c r="L125" s="227"/>
      <c r="M125" s="227"/>
      <c r="N125" s="227"/>
      <c r="O125" s="227"/>
      <c r="P125" s="228"/>
    </row>
    <row r="126" spans="1:16" x14ac:dyDescent="0.3">
      <c r="A126" s="226"/>
      <c r="B126" s="227"/>
      <c r="C126" s="227"/>
      <c r="D126" s="227"/>
      <c r="E126" s="227"/>
      <c r="F126" s="227"/>
      <c r="G126" s="227"/>
      <c r="H126" s="227"/>
      <c r="I126" s="227"/>
      <c r="J126" s="227"/>
      <c r="K126" s="227"/>
      <c r="L126" s="227"/>
      <c r="M126" s="227"/>
      <c r="N126" s="227"/>
      <c r="O126" s="227"/>
      <c r="P126" s="228"/>
    </row>
    <row r="127" spans="1:16" x14ac:dyDescent="0.3">
      <c r="A127" s="226"/>
      <c r="B127" s="227"/>
      <c r="C127" s="227"/>
      <c r="D127" s="227"/>
      <c r="E127" s="227"/>
      <c r="F127" s="227"/>
      <c r="G127" s="227"/>
      <c r="H127" s="227"/>
      <c r="I127" s="227"/>
      <c r="J127" s="227"/>
      <c r="K127" s="227"/>
      <c r="L127" s="227"/>
      <c r="M127" s="227"/>
      <c r="N127" s="227"/>
      <c r="O127" s="227"/>
      <c r="P127" s="228"/>
    </row>
    <row r="128" spans="1:16" x14ac:dyDescent="0.3">
      <c r="A128" s="226"/>
      <c r="B128" s="227"/>
      <c r="C128" s="227"/>
      <c r="D128" s="227"/>
      <c r="E128" s="227"/>
      <c r="F128" s="227"/>
      <c r="G128" s="227"/>
      <c r="H128" s="227"/>
      <c r="I128" s="227"/>
      <c r="J128" s="227"/>
      <c r="K128" s="227"/>
      <c r="L128" s="227"/>
      <c r="M128" s="227"/>
      <c r="N128" s="227"/>
      <c r="O128" s="227"/>
      <c r="P128" s="228"/>
    </row>
    <row r="129" spans="1:16" x14ac:dyDescent="0.3">
      <c r="A129" s="226"/>
      <c r="B129" s="227"/>
      <c r="C129" s="227"/>
      <c r="D129" s="227"/>
      <c r="E129" s="227"/>
      <c r="F129" s="227"/>
      <c r="G129" s="227"/>
      <c r="H129" s="227"/>
      <c r="I129" s="227"/>
      <c r="J129" s="227"/>
      <c r="K129" s="227"/>
      <c r="L129" s="227"/>
      <c r="M129" s="227"/>
      <c r="N129" s="227"/>
      <c r="O129" s="227"/>
      <c r="P129" s="228"/>
    </row>
    <row r="130" spans="1:16" x14ac:dyDescent="0.3">
      <c r="A130" s="226"/>
      <c r="B130" s="227"/>
      <c r="C130" s="227"/>
      <c r="D130" s="227"/>
      <c r="E130" s="227"/>
      <c r="F130" s="227"/>
      <c r="G130" s="227"/>
      <c r="H130" s="227"/>
      <c r="I130" s="227"/>
      <c r="J130" s="227"/>
      <c r="K130" s="227"/>
      <c r="L130" s="227"/>
      <c r="M130" s="227"/>
      <c r="N130" s="227"/>
      <c r="O130" s="227"/>
      <c r="P130" s="228"/>
    </row>
    <row r="131" spans="1:16" x14ac:dyDescent="0.3">
      <c r="A131" s="226"/>
      <c r="B131" s="227"/>
      <c r="C131" s="227"/>
      <c r="D131" s="227"/>
      <c r="E131" s="227"/>
      <c r="F131" s="227"/>
      <c r="G131" s="227"/>
      <c r="H131" s="227"/>
      <c r="I131" s="227"/>
      <c r="J131" s="227"/>
      <c r="K131" s="227"/>
      <c r="L131" s="227"/>
      <c r="M131" s="227"/>
      <c r="N131" s="227"/>
      <c r="O131" s="227"/>
      <c r="P131" s="228"/>
    </row>
    <row r="132" spans="1:16" x14ac:dyDescent="0.3">
      <c r="A132" s="226"/>
      <c r="B132" s="227"/>
      <c r="C132" s="227"/>
      <c r="D132" s="227"/>
      <c r="E132" s="227"/>
      <c r="F132" s="227"/>
      <c r="G132" s="227"/>
      <c r="H132" s="227"/>
      <c r="I132" s="227"/>
      <c r="J132" s="227"/>
      <c r="K132" s="227"/>
      <c r="L132" s="227"/>
      <c r="M132" s="227"/>
      <c r="N132" s="227"/>
      <c r="O132" s="227"/>
      <c r="P132" s="228"/>
    </row>
    <row r="133" spans="1:16" x14ac:dyDescent="0.3">
      <c r="A133" s="226"/>
      <c r="B133" s="227"/>
      <c r="C133" s="227"/>
      <c r="D133" s="227"/>
      <c r="E133" s="227"/>
      <c r="F133" s="227"/>
      <c r="G133" s="227"/>
      <c r="H133" s="227"/>
      <c r="I133" s="227"/>
      <c r="J133" s="227"/>
      <c r="K133" s="227"/>
      <c r="L133" s="227"/>
      <c r="M133" s="227"/>
      <c r="N133" s="227"/>
      <c r="O133" s="227"/>
      <c r="P133" s="228"/>
    </row>
    <row r="134" spans="1:16" ht="16.2" thickBot="1" x14ac:dyDescent="0.35">
      <c r="A134" s="229"/>
      <c r="B134" s="230"/>
      <c r="C134" s="230"/>
      <c r="D134" s="230"/>
      <c r="E134" s="230"/>
      <c r="F134" s="230"/>
      <c r="G134" s="230"/>
      <c r="H134" s="230"/>
      <c r="I134" s="230"/>
      <c r="J134" s="230"/>
      <c r="K134" s="230"/>
      <c r="L134" s="230"/>
      <c r="M134" s="230"/>
      <c r="N134" s="230"/>
      <c r="O134" s="230"/>
      <c r="P134" s="231"/>
    </row>
    <row r="135" spans="1:16" x14ac:dyDescent="0.3">
      <c r="A135" s="5"/>
      <c r="B135" s="5"/>
      <c r="C135" s="5"/>
      <c r="D135" s="5"/>
      <c r="E135" s="5"/>
      <c r="F135" s="5"/>
      <c r="G135" s="5"/>
      <c r="H135" s="5"/>
      <c r="I135" s="5"/>
      <c r="J135" s="5"/>
      <c r="K135" s="5"/>
      <c r="L135" s="5"/>
      <c r="M135" s="5"/>
      <c r="N135" s="5"/>
      <c r="O135" s="5"/>
      <c r="P135" s="5"/>
    </row>
    <row r="136" spans="1:16" x14ac:dyDescent="0.3">
      <c r="A136" s="16" t="s">
        <v>50</v>
      </c>
      <c r="B136" s="5"/>
      <c r="C136" s="5"/>
      <c r="D136" s="5"/>
      <c r="E136" s="5"/>
      <c r="F136" s="5"/>
      <c r="G136" s="5"/>
      <c r="H136" s="5"/>
      <c r="I136" s="5"/>
      <c r="J136" s="5"/>
      <c r="K136" s="5"/>
      <c r="L136" s="5"/>
      <c r="M136" s="5"/>
      <c r="N136" s="5"/>
      <c r="O136" s="5"/>
      <c r="P136" s="5"/>
    </row>
    <row r="137" spans="1:16" x14ac:dyDescent="0.3">
      <c r="A137" s="17" t="s">
        <v>51</v>
      </c>
      <c r="B137" s="5"/>
      <c r="C137" s="5"/>
      <c r="D137" s="5"/>
      <c r="E137" s="5"/>
      <c r="F137" s="5"/>
      <c r="G137" s="5"/>
      <c r="H137" s="5"/>
      <c r="I137" s="5"/>
      <c r="J137" s="5"/>
      <c r="K137" s="5"/>
      <c r="L137" s="5"/>
      <c r="M137" s="5"/>
      <c r="N137" s="5"/>
      <c r="O137" s="5" t="s">
        <v>833</v>
      </c>
      <c r="P137" s="5" t="s">
        <v>555</v>
      </c>
    </row>
    <row r="138" spans="1:16" x14ac:dyDescent="0.3">
      <c r="A138" s="5"/>
      <c r="B138" s="5"/>
      <c r="C138" s="5"/>
      <c r="D138" s="5"/>
      <c r="E138" s="5"/>
      <c r="F138" s="5"/>
      <c r="G138" s="5"/>
      <c r="H138" s="5"/>
      <c r="I138" s="5"/>
      <c r="J138" s="5"/>
      <c r="K138" s="5"/>
      <c r="L138" s="5"/>
      <c r="M138" s="5"/>
      <c r="N138" s="5"/>
      <c r="O138" s="5"/>
      <c r="P138" s="5"/>
    </row>
  </sheetData>
  <sheetProtection algorithmName="SHA-512" hashValue="hektDaUzKM0cfVy0RLlWKDlHdDg/1ItbCTQPRU4arx+nTHLh23E4lH1Pbes8ccX3iNysDk+UkItpmvFO93nVFw==" saltValue="L1JQ/pQ0Lbk9kK/LsryHyQ==" spinCount="100000" sheet="1" selectLockedCells="1"/>
  <mergeCells count="95">
    <mergeCell ref="A98:A101"/>
    <mergeCell ref="I36:N36"/>
    <mergeCell ref="B30:P30"/>
    <mergeCell ref="G77:J79"/>
    <mergeCell ref="F75:I75"/>
    <mergeCell ref="B64:D64"/>
    <mergeCell ref="G71:J71"/>
    <mergeCell ref="N44:P44"/>
    <mergeCell ref="J44:M44"/>
    <mergeCell ref="N45:P45"/>
    <mergeCell ref="N46:P46"/>
    <mergeCell ref="N47:P47"/>
    <mergeCell ref="N48:P48"/>
    <mergeCell ref="N49:P49"/>
    <mergeCell ref="N50:P50"/>
    <mergeCell ref="O74:P74"/>
    <mergeCell ref="D110:E110"/>
    <mergeCell ref="D112:E112"/>
    <mergeCell ref="B74:C74"/>
    <mergeCell ref="D107:E107"/>
    <mergeCell ref="D109:E109"/>
    <mergeCell ref="D98:E98"/>
    <mergeCell ref="B78:C78"/>
    <mergeCell ref="B79:C79"/>
    <mergeCell ref="B76:E76"/>
    <mergeCell ref="B83:N83"/>
    <mergeCell ref="L74:M74"/>
    <mergeCell ref="B77:C77"/>
    <mergeCell ref="G72:H72"/>
    <mergeCell ref="G73:H73"/>
    <mergeCell ref="L71:P72"/>
    <mergeCell ref="G74:H74"/>
    <mergeCell ref="B72:C72"/>
    <mergeCell ref="B73:C73"/>
    <mergeCell ref="A122:P134"/>
    <mergeCell ref="F60:J60"/>
    <mergeCell ref="N100:P100"/>
    <mergeCell ref="B22:P22"/>
    <mergeCell ref="A85:A86"/>
    <mergeCell ref="B85:P86"/>
    <mergeCell ref="B118:P118"/>
    <mergeCell ref="E116:G116"/>
    <mergeCell ref="G42:I42"/>
    <mergeCell ref="D96:I96"/>
    <mergeCell ref="M24:P24"/>
    <mergeCell ref="M26:P26"/>
    <mergeCell ref="M40:P40"/>
    <mergeCell ref="D114:E114"/>
    <mergeCell ref="G114:H114"/>
    <mergeCell ref="J114:K114"/>
    <mergeCell ref="A3:P3"/>
    <mergeCell ref="O1:P1"/>
    <mergeCell ref="B26:E26"/>
    <mergeCell ref="B28:E28"/>
    <mergeCell ref="B24:E24"/>
    <mergeCell ref="B16:P16"/>
    <mergeCell ref="B1:M1"/>
    <mergeCell ref="B18:E18"/>
    <mergeCell ref="G18:K18"/>
    <mergeCell ref="O7:P7"/>
    <mergeCell ref="B7:M7"/>
    <mergeCell ref="K14:P14"/>
    <mergeCell ref="I14:J14"/>
    <mergeCell ref="J20:P20"/>
    <mergeCell ref="B20:H20"/>
    <mergeCell ref="B9:P12"/>
    <mergeCell ref="M18:P18"/>
    <mergeCell ref="H47:I47"/>
    <mergeCell ref="J24:K24"/>
    <mergeCell ref="H48:I48"/>
    <mergeCell ref="N52:P52"/>
    <mergeCell ref="H46:I46"/>
    <mergeCell ref="H49:I49"/>
    <mergeCell ref="H50:I50"/>
    <mergeCell ref="H52:I52"/>
    <mergeCell ref="H51:I51"/>
    <mergeCell ref="D14:H14"/>
    <mergeCell ref="B40:D40"/>
    <mergeCell ref="G40:I40"/>
    <mergeCell ref="B44:C44"/>
    <mergeCell ref="H45:I45"/>
    <mergeCell ref="D44:E44"/>
    <mergeCell ref="F44:G44"/>
    <mergeCell ref="H44:I44"/>
    <mergeCell ref="G24:H24"/>
    <mergeCell ref="N58:O58"/>
    <mergeCell ref="B68:C68"/>
    <mergeCell ref="B71:E71"/>
    <mergeCell ref="N51:P51"/>
    <mergeCell ref="N53:P53"/>
    <mergeCell ref="N54:P54"/>
    <mergeCell ref="B55:P55"/>
    <mergeCell ref="N57:P57"/>
    <mergeCell ref="H53:I53"/>
    <mergeCell ref="H54:I54"/>
  </mergeCells>
  <phoneticPr fontId="3" type="noConversion"/>
  <conditionalFormatting sqref="A46:P46">
    <cfRule type="expression" dxfId="45" priority="11">
      <formula>$B$45=0</formula>
    </cfRule>
  </conditionalFormatting>
  <conditionalFormatting sqref="A47:P47">
    <cfRule type="expression" dxfId="44" priority="12">
      <formula>$B$46=0</formula>
    </cfRule>
  </conditionalFormatting>
  <conditionalFormatting sqref="A48:P48">
    <cfRule type="expression" dxfId="43" priority="13">
      <formula>$B$47=0</formula>
    </cfRule>
  </conditionalFormatting>
  <conditionalFormatting sqref="A49:P49">
    <cfRule type="expression" dxfId="42" priority="14">
      <formula>$B$48=0</formula>
    </cfRule>
  </conditionalFormatting>
  <conditionalFormatting sqref="A50:P50">
    <cfRule type="expression" dxfId="41" priority="15">
      <formula>$B$49=0</formula>
    </cfRule>
  </conditionalFormatting>
  <conditionalFormatting sqref="A51:P51">
    <cfRule type="expression" dxfId="40" priority="16">
      <formula>$B$50=0</formula>
    </cfRule>
  </conditionalFormatting>
  <conditionalFormatting sqref="A52:P52">
    <cfRule type="expression" dxfId="39" priority="17">
      <formula>$B$51=0</formula>
    </cfRule>
  </conditionalFormatting>
  <conditionalFormatting sqref="A53:P53">
    <cfRule type="expression" dxfId="38" priority="18">
      <formula>$B$52=0</formula>
    </cfRule>
  </conditionalFormatting>
  <conditionalFormatting sqref="A54:P54">
    <cfRule type="expression" dxfId="37" priority="19">
      <formula>$B$53=0</formula>
    </cfRule>
  </conditionalFormatting>
  <conditionalFormatting sqref="B38">
    <cfRule type="containsBlanks" dxfId="36" priority="63">
      <formula>LEN(TRIM(B38))=0</formula>
    </cfRule>
  </conditionalFormatting>
  <conditionalFormatting sqref="B42">
    <cfRule type="containsBlanks" dxfId="35" priority="64">
      <formula>LEN(TRIM(B42))=0</formula>
    </cfRule>
  </conditionalFormatting>
  <conditionalFormatting sqref="B60">
    <cfRule type="expression" dxfId="34" priority="31">
      <formula>AND(B40="Rechargeable", ISBLANK(B60))</formula>
    </cfRule>
  </conditionalFormatting>
  <conditionalFormatting sqref="B61">
    <cfRule type="expression" dxfId="33" priority="30">
      <formula>AND(B40="Rechargeable", ISBLANK(B61))</formula>
    </cfRule>
  </conditionalFormatting>
  <conditionalFormatting sqref="B63">
    <cfRule type="expression" dxfId="32" priority="29">
      <formula>AND(B40="Rechargeable", ISBLANK(B63))</formula>
    </cfRule>
  </conditionalFormatting>
  <conditionalFormatting sqref="B68:C68">
    <cfRule type="containsText" dxfId="31" priority="28" operator="containsText" text="Location">
      <formula>NOT(ISERROR(SEARCH("Location",B68)))</formula>
    </cfRule>
  </conditionalFormatting>
  <conditionalFormatting sqref="B40:D40">
    <cfRule type="containsText" dxfId="30" priority="38" operator="containsText" text="Choose">
      <formula>NOT(ISERROR(SEARCH("Choose",B40)))</formula>
    </cfRule>
  </conditionalFormatting>
  <conditionalFormatting sqref="B71:E74">
    <cfRule type="expression" dxfId="29" priority="21">
      <formula>$E$35=0</formula>
    </cfRule>
  </conditionalFormatting>
  <conditionalFormatting sqref="B76:E79">
    <cfRule type="expression" dxfId="28" priority="22">
      <formula>$O$35=0</formula>
    </cfRule>
  </conditionalFormatting>
  <conditionalFormatting sqref="B7:M7">
    <cfRule type="containsText" dxfId="26" priority="36" operator="containsText" text="Project Name / Reference">
      <formula>NOT(ISERROR(SEARCH("Project Name / Reference",B7)))</formula>
    </cfRule>
    <cfRule type="containsBlanks" dxfId="25" priority="65">
      <formula>LEN(TRIM(B7))=0</formula>
    </cfRule>
  </conditionalFormatting>
  <conditionalFormatting sqref="B16:P16">
    <cfRule type="containsText" dxfId="24" priority="35" operator="containsText" text="Company Name">
      <formula>NOT(ISERROR(SEARCH("Company Name",B16)))</formula>
    </cfRule>
    <cfRule type="containsBlanks" dxfId="23" priority="66">
      <formula>LEN(TRIM(B16))=0</formula>
    </cfRule>
  </conditionalFormatting>
  <conditionalFormatting sqref="B55:P55">
    <cfRule type="expression" dxfId="22" priority="27">
      <formula>AND(J45="",$B$45&lt;&gt;"")</formula>
    </cfRule>
  </conditionalFormatting>
  <conditionalFormatting sqref="D109:E110">
    <cfRule type="containsBlanks" dxfId="20" priority="67">
      <formula>LEN(TRIM(D109))=0</formula>
    </cfRule>
  </conditionalFormatting>
  <conditionalFormatting sqref="D14:H14">
    <cfRule type="containsBlanks" dxfId="19" priority="62">
      <formula>LEN(TRIM(D14))=0</formula>
    </cfRule>
  </conditionalFormatting>
  <conditionalFormatting sqref="G24:H24">
    <cfRule type="expression" dxfId="18" priority="25">
      <formula>$M$24&lt;&gt;"United States of America"</formula>
    </cfRule>
  </conditionalFormatting>
  <conditionalFormatting sqref="H107:K107">
    <cfRule type="expression" dxfId="17" priority="1">
      <formula>$D$107=""</formula>
    </cfRule>
  </conditionalFormatting>
  <conditionalFormatting sqref="H109:K109">
    <cfRule type="expression" dxfId="16" priority="8">
      <formula>$D$109=""</formula>
    </cfRule>
  </conditionalFormatting>
  <conditionalFormatting sqref="H110:K110">
    <cfRule type="expression" dxfId="15" priority="3">
      <formula>$D$110=""</formula>
    </cfRule>
  </conditionalFormatting>
  <conditionalFormatting sqref="H112:K112">
    <cfRule type="expression" dxfId="14" priority="2">
      <formula>$D$112=""</formula>
    </cfRule>
  </conditionalFormatting>
  <conditionalFormatting sqref="I72:I74">
    <cfRule type="containsBlanks" dxfId="13" priority="68">
      <formula>LEN(TRIM(I72))=0</formula>
    </cfRule>
  </conditionalFormatting>
  <conditionalFormatting sqref="I106">
    <cfRule type="expression" dxfId="12" priority="4">
      <formula>AND($D$107="",$D$109="", $D$110="",$D$112="")</formula>
    </cfRule>
  </conditionalFormatting>
  <conditionalFormatting sqref="I36:P37">
    <cfRule type="expression" dxfId="11" priority="24">
      <formula>$O$35=0</formula>
    </cfRule>
  </conditionalFormatting>
  <conditionalFormatting sqref="L32">
    <cfRule type="containsBlanks" dxfId="10" priority="61">
      <formula>LEN(TRIM(L32))=0</formula>
    </cfRule>
  </conditionalFormatting>
  <conditionalFormatting sqref="L71:P72 L74:N81">
    <cfRule type="expression" dxfId="9" priority="9">
      <formula>OR($B$68="Location",$B$68="Indoor")</formula>
    </cfRule>
  </conditionalFormatting>
  <conditionalFormatting sqref="M18:P18 B20:P20 B22:P22 B24:E24 J24:K24">
    <cfRule type="expression" dxfId="8" priority="20">
      <formula>AND($B$18="Given Name", $G$18="Family Name")</formula>
    </cfRule>
  </conditionalFormatting>
  <conditionalFormatting sqref="O7:P7">
    <cfRule type="containsBlanks" dxfId="7" priority="70">
      <formula>LEN(TRIM(O7))=0</formula>
    </cfRule>
  </conditionalFormatting>
  <dataValidations count="10">
    <dataValidation type="date" allowBlank="1" showInputMessage="1" showErrorMessage="1" promptTitle="Please enter the date" prompt="in dd/mm/yyyy format" sqref="O7:P7" xr:uid="{81C76CC3-7776-4939-85C1-E6E728863D80}">
      <formula1>44958</formula1>
      <formula2>47848</formula2>
    </dataValidation>
    <dataValidation allowBlank="1" showInputMessage="1" showErrorMessage="1" promptTitle="Consumption during storage" prompt="(before use, device is OFF)" sqref="O36" xr:uid="{82D45136-FAA7-410C-B11B-29CC2BC93D17}"/>
    <dataValidation allowBlank="1" showInputMessage="1" showErrorMessage="1" promptTitle="Standby" prompt="or background consumption" sqref="B42" xr:uid="{E3AD43B0-AD75-493A-9FFC-F4B5C8F4FC29}"/>
    <dataValidation allowBlank="1" showInputMessage="1" showErrorMessage="1" promptTitle="Expected number of cycles " prompt="during life of the battery" sqref="B60" xr:uid="{3FBB6641-EE2B-4D77-B3FB-FF318FC01B5D}"/>
    <dataValidation allowBlank="1" showInputMessage="1" showErrorMessage="1" promptTitle="Cycling depth of discharge" prompt="If the cycling profile is complex, please provide detailed information in Section 6." sqref="B61" xr:uid="{1102DC1B-761A-4165-8C14-E7E9B68937EE}"/>
    <dataValidation allowBlank="1" showInputMessage="1" showErrorMessage="1" promptTitle="Autonomy time" prompt="Please specify the maximum duration the battery needs to supply the average current before the next recharge." sqref="B63" xr:uid="{EFD55C58-5521-4FCE-8736-CD3AEF3F4058}"/>
    <dataValidation allowBlank="1" showInputMessage="1" showErrorMessage="1" prompt="Enter the estimated percentage of time the battery operates at each temperature. You can manually adjust the temperature values on the left." sqref="M75:M81" xr:uid="{E6E78CA7-69C9-4BC1-B00D-169C797045BC}"/>
    <dataValidation type="decimal" allowBlank="1" showInputMessage="1" showErrorMessage="1" sqref="F45:F54 D45:D54 B45:B54" xr:uid="{B9A97F21-BEF2-4A45-BFEF-E08B3B605261}">
      <formula1>0</formula1>
      <formula2>9999999</formula2>
    </dataValidation>
    <dataValidation type="decimal" allowBlank="1" showInputMessage="1" showErrorMessage="1" sqref="B38" xr:uid="{733F3229-BC47-41CA-B235-453EFF93D177}">
      <formula1>0</formula1>
      <formula2>9999</formula2>
    </dataValidation>
    <dataValidation allowBlank="1" showInputMessage="1" showErrorMessage="1" prompt="This value can be manually adjusted." sqref="L75:L81" xr:uid="{21684125-DCC6-434A-87C1-125DD388DF6F}"/>
  </dataValidations>
  <hyperlinks>
    <hyperlink ref="A136" r:id="rId1" xr:uid="{00000000-0004-0000-0000-000000000000}"/>
    <hyperlink ref="A137" r:id="rId2" xr:uid="{00000000-0004-0000-0000-000001000000}"/>
  </hyperlinks>
  <pageMargins left="0.43307086614173229" right="0.23622047244094491" top="0.74803149606299213" bottom="0.74803149606299213" header="0.31496062992125984" footer="0.31496062992125984"/>
  <pageSetup paperSize="9" scale="55" orientation="portrait" cellComments="asDisplayed" r:id="rId3"/>
  <headerFooter>
    <oddFooter>&amp;CCompany Confidential
Page &amp;P of &amp;N
&amp;RAQ</oddFooter>
  </headerFooter>
  <rowBreaks count="1" manualBreakCount="1">
    <brk id="87" max="7" man="1"/>
  </rowBreaks>
  <ignoredErrors>
    <ignoredError sqref="C49:C54 O75:O81 L75:L81 K45:K54 C45:C48" unlockedFormula="1"/>
  </ignoredErrors>
  <drawing r:id="rId4"/>
  <extLst>
    <ext xmlns:x14="http://schemas.microsoft.com/office/spreadsheetml/2009/9/main" uri="{78C0D931-6437-407d-A8EE-F0AAD7539E65}">
      <x14:conditionalFormattings>
        <x14:conditionalFormatting xmlns:xm="http://schemas.microsoft.com/office/excel/2006/main">
          <x14:cfRule type="expression" priority="56" id="{E7586280-1E43-4B66-BB2C-C659BE1D731B}">
            <xm:f>OR($B$40=DB!$AU$1,$B$40=DB!$AU$2)</xm:f>
            <x14:dxf>
              <font>
                <color theme="0"/>
              </font>
              <fill>
                <patternFill>
                  <bgColor theme="0"/>
                </patternFill>
              </fill>
              <border>
                <left/>
                <right/>
                <top/>
                <bottom/>
              </border>
            </x14:dxf>
          </x14:cfRule>
          <xm:sqref>A60:E64 A59 C59:E59 F60:P60 G61:P62 F63:P64</xm:sqref>
        </x14:conditionalFormatting>
        <x14:conditionalFormatting xmlns:xm="http://schemas.microsoft.com/office/excel/2006/main">
          <x14:cfRule type="expression" priority="49" id="{9C1508FB-9B67-4502-98CD-AA01BD74AF47}">
            <xm:f>OR($D$96=DB!$BD$3,$D$96=DB!$BD$4,$D$96="Unknown")</xm:f>
            <x14:dxf>
              <font>
                <color theme="0"/>
              </font>
              <fill>
                <patternFill>
                  <bgColor theme="0"/>
                </patternFill>
              </fill>
              <border>
                <left/>
                <right/>
                <top/>
                <bottom/>
              </border>
            </x14:dxf>
          </x14:cfRule>
          <xm:sqref>B98:I98</xm:sqref>
        </x14:conditionalFormatting>
        <x14:conditionalFormatting xmlns:xm="http://schemas.microsoft.com/office/excel/2006/main">
          <x14:cfRule type="expression" priority="48" id="{145A5D8D-D54E-4689-B959-B7204640FA12}">
            <xm:f>OR($D$96=DB!$BD$2,$D$96=DB!$BD$4,$D$96="Unknown")</xm:f>
            <x14:dxf>
              <font>
                <color theme="0"/>
              </font>
              <fill>
                <patternFill>
                  <bgColor theme="0"/>
                </patternFill>
              </fill>
              <border>
                <left/>
                <right/>
                <top/>
                <bottom/>
              </border>
            </x14:dxf>
          </x14:cfRule>
          <xm:sqref>B100:P100</xm:sqref>
        </x14:conditionalFormatting>
        <x14:conditionalFormatting xmlns:xm="http://schemas.microsoft.com/office/excel/2006/main">
          <x14:cfRule type="expression" priority="50" id="{566360A4-4391-44F6-B8A6-400B2D7DC000}">
            <xm:f>OR($J$75=DB!$BJ$1,$J$75=DB!$BJ$3)</xm:f>
            <x14:dxf>
              <font>
                <color theme="0"/>
              </font>
              <fill>
                <patternFill>
                  <bgColor theme="0"/>
                </patternFill>
              </fill>
              <border>
                <left/>
                <right/>
                <top/>
                <bottom/>
              </border>
            </x14:dxf>
          </x14:cfRule>
          <xm:sqref>O74:P81</xm:sqref>
        </x14:conditionalFormatting>
      </x14:conditionalFormattings>
    </ext>
    <ext xmlns:x14="http://schemas.microsoft.com/office/spreadsheetml/2009/9/main" uri="{CCE6A557-97BC-4b89-ADB6-D9C93CAAB3DF}">
      <x14:dataValidations xmlns:xm="http://schemas.microsoft.com/office/excel/2006/main" count="28">
        <x14:dataValidation type="list" allowBlank="1" showInputMessage="1" showErrorMessage="1" xr:uid="{00000000-0002-0000-0000-00000A000000}">
          <x14:formula1>
            <xm:f>DB!$BK$2:$BK$3</xm:f>
          </x14:formula1>
          <xm:sqref>E102</xm:sqref>
        </x14:dataValidation>
        <x14:dataValidation type="list" allowBlank="1" showInputMessage="1" showErrorMessage="1" xr:uid="{00000000-0002-0000-0000-000005000000}">
          <x14:formula1>
            <xm:f>DB!$BG$1:$BG$5</xm:f>
          </x14:formula1>
          <xm:sqref>H112</xm:sqref>
        </x14:dataValidation>
        <x14:dataValidation type="list" allowBlank="1" showInputMessage="1" showErrorMessage="1" xr:uid="{00000000-0002-0000-0000-000007000000}">
          <x14:formula1>
            <xm:f>DB!$AZ$1:$AZ$4</xm:f>
          </x14:formula1>
          <xm:sqref>C62</xm:sqref>
        </x14:dataValidation>
        <x14:dataValidation type="list" allowBlank="1" showInputMessage="1" showErrorMessage="1" xr:uid="{00000000-0002-0000-0000-000008000000}">
          <x14:formula1>
            <xm:f>DB!$AL$7:$AL$10</xm:f>
          </x14:formula1>
          <xm:sqref>P35</xm:sqref>
        </x14:dataValidation>
        <x14:dataValidation type="list" allowBlank="1" showInputMessage="1" showErrorMessage="1" xr:uid="{00000000-0002-0000-0000-00000B000000}">
          <x14:formula1>
            <xm:f>DB!$BE$2:$BE$3</xm:f>
          </x14:formula1>
          <xm:sqref>F112 F107 F109:F110</xm:sqref>
        </x14:dataValidation>
        <x14:dataValidation type="list" allowBlank="1" showInputMessage="1" showErrorMessage="1" xr:uid="{3CF035CF-00FD-488D-8872-B94031FDBA0E}">
          <x14:formula1>
            <xm:f>DB!$AI$1:$AI$260</xm:f>
          </x14:formula1>
          <xm:sqref>M24:P24</xm:sqref>
        </x14:dataValidation>
        <x14:dataValidation type="list" allowBlank="1" showInputMessage="1" showErrorMessage="1" xr:uid="{7CD93E27-9F78-4ED9-AEC6-63E8799B0EB3}">
          <x14:formula1>
            <xm:f>DB!$AK$1:$AK$21</xm:f>
          </x14:formula1>
          <xm:sqref>E116:G116</xm:sqref>
        </x14:dataValidation>
        <x14:dataValidation type="list" allowBlank="1" showInputMessage="1" showErrorMessage="1" xr:uid="{A0AF3FAE-7E9C-4539-AF21-85199E2F61A4}">
          <x14:formula1>
            <xm:f>DB!$AJ$1:$AJ$5</xm:f>
          </x14:formula1>
          <xm:sqref>M26:P26</xm:sqref>
        </x14:dataValidation>
        <x14:dataValidation type="list" allowBlank="1" showInputMessage="1" showErrorMessage="1" xr:uid="{66EFDDC0-C759-4397-BBAE-7978CD5BA9B1}">
          <x14:formula1>
            <xm:f>DB!$AL$1:$AL$10</xm:f>
          </x14:formula1>
          <xm:sqref>C38 F35 C63</xm:sqref>
        </x14:dataValidation>
        <x14:dataValidation type="list" allowBlank="1" showInputMessage="1" showErrorMessage="1" xr:uid="{473D112F-5734-4665-A779-0F1C46617736}">
          <x14:formula1>
            <xm:f>DB!$AP$2:$AP$3</xm:f>
          </x14:formula1>
          <xm:sqref>P58</xm:sqref>
        </x14:dataValidation>
        <x14:dataValidation type="list" allowBlank="1" showInputMessage="1" showErrorMessage="1" xr:uid="{8EE42900-07E9-4CBC-A9E1-654FB6DA7F2B}">
          <x14:formula1>
            <xm:f>DB!$AQ$1:$AQ$4</xm:f>
          </x14:formula1>
          <xm:sqref>M40:P40</xm:sqref>
        </x14:dataValidation>
        <x14:dataValidation type="list" allowBlank="1" showInputMessage="1" showErrorMessage="1" xr:uid="{15955E72-D885-4482-8746-B129B57A7253}">
          <x14:formula1>
            <xm:f>DB!$AR$1:$AR$4</xm:f>
          </x14:formula1>
          <xm:sqref>J100</xm:sqref>
        </x14:dataValidation>
        <x14:dataValidation type="list" allowBlank="1" showInputMessage="1" showErrorMessage="1" xr:uid="{4E6EE348-4C5E-4AB1-ACC7-960D47B20B7D}">
          <x14:formula1>
            <xm:f>DB!$AS$1:$AS$7</xm:f>
          </x14:formula1>
          <xm:sqref>D98:E98</xm:sqref>
        </x14:dataValidation>
        <x14:dataValidation type="list" allowBlank="1" showInputMessage="1" showErrorMessage="1" xr:uid="{1CD41189-FDB9-4B47-B93D-964673C2083D}">
          <x14:formula1>
            <xm:f>DB!$AT$1:$AT$3</xm:f>
          </x14:formula1>
          <xm:sqref>B28:E28</xm:sqref>
        </x14:dataValidation>
        <x14:dataValidation type="list" allowBlank="1" showInputMessage="1" showErrorMessage="1" xr:uid="{00000000-0002-0000-0000-00000F000000}">
          <x14:formula1>
            <xm:f>DB!$AU$1:$AU$3</xm:f>
          </x14:formula1>
          <xm:sqref>B40:D40</xm:sqref>
        </x14:dataValidation>
        <x14:dataValidation type="list" allowBlank="1" showInputMessage="1" showErrorMessage="1" promptTitle="Mode of operation" prompt="Backup power source - battery is discharged only in case of loss of external power source._x000a_Main power source - no external power source is available." xr:uid="{E3B73F87-9EF2-49B1-BB40-DC2E4262AD78}">
          <x14:formula1>
            <xm:f>DB!$AV$1:$AV$3</xm:f>
          </x14:formula1>
          <xm:sqref>G40:I40</xm:sqref>
        </x14:dataValidation>
        <x14:dataValidation type="list" allowBlank="1" showInputMessage="1" showErrorMessage="1" xr:uid="{85C4C2ED-656A-4589-968C-76E504BC14FD}">
          <x14:formula1>
            <xm:f>DB!$AW$2:$AW$7</xm:f>
          </x14:formula1>
          <xm:sqref>C42 K45:K54 C45:C54</xm:sqref>
        </x14:dataValidation>
        <x14:dataValidation type="list" allowBlank="1" showInputMessage="1" showErrorMessage="1" xr:uid="{D7902C1D-F5A3-4A33-BF25-1A7EB86B3008}">
          <x14:formula1>
            <xm:f>DB!$AX$2:$AX$3</xm:f>
          </x14:formula1>
          <xm:sqref>G42:I42</xm:sqref>
        </x14:dataValidation>
        <x14:dataValidation type="list" allowBlank="1" showInputMessage="1" showErrorMessage="1" xr:uid="{7DE7B757-69D5-43ED-897F-B14FAC035068}">
          <x14:formula1>
            <xm:f>DB!$AY$1:$AY$10</xm:f>
          </x14:formula1>
          <xm:sqref>G45:G54 M45:M54 E45:E54</xm:sqref>
        </x14:dataValidation>
        <x14:dataValidation type="list" allowBlank="1" showInputMessage="1" showErrorMessage="1" xr:uid="{77099BE7-35C7-4A3F-9597-F4E0303B24EB}">
          <x14:formula1>
            <xm:f>DB!$BB$1:$BB$4</xm:f>
          </x14:formula1>
          <xm:sqref>B68:C68</xm:sqref>
        </x14:dataValidation>
        <x14:dataValidation type="list" allowBlank="1" showInputMessage="1" showErrorMessage="1" xr:uid="{6D5BB7D6-4584-4C3B-94F4-AAA091C92791}">
          <x14:formula1>
            <xm:f>DB!$BC$1:$BC$6</xm:f>
          </x14:formula1>
          <xm:sqref>E91:E94 E100</xm:sqref>
        </x14:dataValidation>
        <x14:dataValidation type="list" allowBlank="1" showInputMessage="1" showErrorMessage="1" xr:uid="{3D09C0AB-ADB6-4F85-9CD6-B213CE4B046E}">
          <x14:formula1>
            <xm:f>DB!$BD$2:$BD$5</xm:f>
          </x14:formula1>
          <xm:sqref>D96:I96</xm:sqref>
        </x14:dataValidation>
        <x14:dataValidation type="list" allowBlank="1" showInputMessage="1" showErrorMessage="1" xr:uid="{00000000-0002-0000-0000-000006000000}">
          <x14:formula1>
            <xm:f>DB!$BF$1:$BF$11</xm:f>
          </x14:formula1>
          <xm:sqref>I112 K107 I107 I109:I110</xm:sqref>
        </x14:dataValidation>
        <x14:dataValidation type="list" allowBlank="1" showInputMessage="1" showErrorMessage="1" xr:uid="{7E997316-2AD0-4DE1-A539-303AB02A566A}">
          <x14:formula1>
            <xm:f>DB!$BH$1:$BH$5</xm:f>
          </x14:formula1>
          <xm:sqref>B64:D64</xm:sqref>
        </x14:dataValidation>
        <x14:dataValidation type="list" allowBlank="1" showInputMessage="1" showErrorMessage="1" xr:uid="{00000000-0002-0000-0000-000001000000}">
          <x14:formula1>
            <xm:f>DB!$BI$1:$BI$5</xm:f>
          </x14:formula1>
          <xm:sqref>B26:E26</xm:sqref>
        </x14:dataValidation>
        <x14:dataValidation type="list" allowBlank="1" showInputMessage="1" showErrorMessage="1" xr:uid="{5CA913E3-A00E-4EF5-8FBF-E489F9780E09}">
          <x14:formula1>
            <xm:f>DB!$BJ$2:$BJ$3</xm:f>
          </x14:formula1>
          <xm:sqref>J75 P83</xm:sqref>
        </x14:dataValidation>
        <x14:dataValidation type="list" allowBlank="1" showInputMessage="1" showErrorMessage="1" xr:uid="{E2C1C603-6589-4BD2-BB56-73D00121E9FC}">
          <x14:formula1>
            <xm:f>DB!$B$2:$B$22</xm:f>
          </x14:formula1>
          <xm:sqref>D14:H14</xm:sqref>
        </x14:dataValidation>
        <x14:dataValidation type="list" allowBlank="1" showInputMessage="1" showErrorMessage="1" xr:uid="{0165C8F0-6E42-4F90-946C-989EBE594CCF}">
          <x14:formula1>
            <xm:f>DB!$A$2:$A$98</xm:f>
          </x14:formula1>
          <xm:sqref>K14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A43FC-33AB-4E61-87A7-4EDB93D30D17}">
  <dimension ref="A1:X37"/>
  <sheetViews>
    <sheetView showGridLines="0" zoomScale="90" zoomScaleNormal="90" workbookViewId="0"/>
  </sheetViews>
  <sheetFormatPr defaultRowHeight="15.6" x14ac:dyDescent="0.3"/>
  <cols>
    <col min="1" max="1" width="1.3984375" customWidth="1"/>
    <col min="2" max="2" width="22" customWidth="1"/>
    <col min="3" max="3" width="40.09765625" customWidth="1"/>
    <col min="4" max="4" width="5.69921875" style="135" customWidth="1"/>
    <col min="5" max="5" width="3.296875" customWidth="1"/>
    <col min="6" max="6" width="34.8984375" customWidth="1"/>
    <col min="7" max="7" width="4.5" customWidth="1"/>
    <col min="8" max="8" width="26.69921875" customWidth="1"/>
    <col min="9" max="9" width="39.796875" customWidth="1"/>
    <col min="12" max="13" width="20.5" style="30" customWidth="1"/>
    <col min="14" max="14" width="8.796875" style="30"/>
    <col min="15" max="15" width="14.3984375" style="30" customWidth="1"/>
    <col min="16" max="17" width="23.8984375" style="30" customWidth="1"/>
    <col min="18" max="18" width="17.59765625" style="30" customWidth="1"/>
    <col min="19" max="19" width="17.796875" style="30" customWidth="1"/>
    <col min="20" max="20" width="8.796875" style="30"/>
    <col min="21" max="21" width="17.5" style="30" customWidth="1"/>
    <col min="22" max="24" width="8.796875" style="30"/>
  </cols>
  <sheetData>
    <row r="1" spans="1:22" ht="8.4" customHeight="1" thickBot="1" x14ac:dyDescent="0.35">
      <c r="A1" s="169" t="s">
        <v>835</v>
      </c>
      <c r="B1" s="117"/>
      <c r="C1" s="117"/>
      <c r="D1" s="132"/>
      <c r="E1" s="117"/>
      <c r="F1" s="117"/>
    </row>
    <row r="2" spans="1:22" ht="16.8" thickTop="1" thickBot="1" x14ac:dyDescent="0.35">
      <c r="A2" s="116"/>
      <c r="B2" s="262" t="s">
        <v>774</v>
      </c>
      <c r="C2" s="263"/>
      <c r="D2" s="264" t="s">
        <v>787</v>
      </c>
      <c r="E2" s="265"/>
      <c r="F2" s="266"/>
      <c r="G2" s="5"/>
      <c r="H2" s="260" t="s">
        <v>772</v>
      </c>
      <c r="I2" s="261"/>
      <c r="J2" s="122"/>
      <c r="L2" s="30" t="s">
        <v>752</v>
      </c>
      <c r="M2" s="30" t="s">
        <v>814</v>
      </c>
      <c r="N2" s="30" t="s">
        <v>783</v>
      </c>
      <c r="O2" s="30" t="s">
        <v>822</v>
      </c>
      <c r="P2" s="30" t="s">
        <v>762</v>
      </c>
      <c r="Q2" s="30" t="s">
        <v>834</v>
      </c>
      <c r="R2" s="30" t="s">
        <v>753</v>
      </c>
      <c r="S2" s="30" t="s">
        <v>797</v>
      </c>
      <c r="T2" s="30">
        <v>8110</v>
      </c>
      <c r="U2" s="30" t="s">
        <v>825</v>
      </c>
      <c r="V2" s="30" t="s">
        <v>753</v>
      </c>
    </row>
    <row r="3" spans="1:22" ht="16.2" thickTop="1" x14ac:dyDescent="0.3">
      <c r="A3" s="118"/>
      <c r="B3" s="139" t="s">
        <v>750</v>
      </c>
      <c r="C3" s="138" t="str">
        <f>CONCATENATE(AQ!B16, " - ", AQ!B7)</f>
        <v>Company Name - Project Name / Reference</v>
      </c>
      <c r="D3" s="267" t="s">
        <v>788</v>
      </c>
      <c r="E3" s="267"/>
      <c r="F3" s="268"/>
      <c r="G3" s="5"/>
      <c r="H3" s="164" t="s">
        <v>450</v>
      </c>
      <c r="I3" s="165" t="str">
        <f>IF(OR(AQ!B18="", AQ!B18="Given Name"), "", AQ!B18)</f>
        <v/>
      </c>
      <c r="J3" s="5"/>
      <c r="L3" s="30" t="s">
        <v>780</v>
      </c>
      <c r="M3" s="30" t="s">
        <v>806</v>
      </c>
      <c r="N3" s="30" t="s">
        <v>759</v>
      </c>
      <c r="O3" s="30" t="s">
        <v>823</v>
      </c>
      <c r="P3" s="30" t="s">
        <v>785</v>
      </c>
      <c r="Q3" s="30" t="s">
        <v>807</v>
      </c>
      <c r="R3" s="30" t="s">
        <v>429</v>
      </c>
      <c r="S3" s="30" t="s">
        <v>796</v>
      </c>
      <c r="T3" s="30">
        <v>8105</v>
      </c>
      <c r="U3" s="30" t="s">
        <v>825</v>
      </c>
      <c r="V3" s="30" t="s">
        <v>753</v>
      </c>
    </row>
    <row r="4" spans="1:22" x14ac:dyDescent="0.3">
      <c r="A4" s="118"/>
      <c r="B4" s="139" t="s">
        <v>763</v>
      </c>
      <c r="C4" s="140" t="str">
        <f ca="1">TEXT(EDATE(TODAY(), E4), "dd/mm/yyyy")</f>
        <v>22/12/2025</v>
      </c>
      <c r="D4" s="137" t="s">
        <v>789</v>
      </c>
      <c r="E4" s="141"/>
      <c r="F4" s="142" t="s">
        <v>812</v>
      </c>
      <c r="G4" s="5"/>
      <c r="H4" s="166" t="s">
        <v>765</v>
      </c>
      <c r="I4" s="167" t="str">
        <f>IF(OR(AQ!G18="", AQ!G18="Family Name"), "", AQ!G18)</f>
        <v/>
      </c>
      <c r="J4" s="5"/>
      <c r="L4" s="30" t="s">
        <v>781</v>
      </c>
      <c r="M4" s="30" t="s">
        <v>781</v>
      </c>
      <c r="N4" s="30" t="s">
        <v>784</v>
      </c>
      <c r="O4" s="30" t="s">
        <v>824</v>
      </c>
      <c r="P4" s="30" t="s">
        <v>786</v>
      </c>
      <c r="Q4" s="30" t="s">
        <v>808</v>
      </c>
      <c r="R4" s="30" t="s">
        <v>433</v>
      </c>
      <c r="S4" s="30" t="s">
        <v>795</v>
      </c>
      <c r="T4" s="30">
        <v>8101</v>
      </c>
      <c r="U4" s="30" t="s">
        <v>825</v>
      </c>
      <c r="V4" s="30" t="s">
        <v>753</v>
      </c>
    </row>
    <row r="5" spans="1:22" x14ac:dyDescent="0.3">
      <c r="A5" s="118"/>
      <c r="B5" s="139" t="s">
        <v>756</v>
      </c>
      <c r="C5" s="143" t="str">
        <f>IF(AQ!D110 = "", "", AQ!D110)</f>
        <v/>
      </c>
      <c r="D5" s="267" t="s">
        <v>805</v>
      </c>
      <c r="E5" s="267"/>
      <c r="F5" s="268"/>
      <c r="G5" s="5"/>
      <c r="H5" s="166" t="s">
        <v>770</v>
      </c>
      <c r="I5" s="167" t="str">
        <f>IF(OR(AQ!B20="", AQ!B20="Title"), "", AQ!B20)</f>
        <v/>
      </c>
      <c r="J5" s="5"/>
      <c r="L5" s="30" t="s">
        <v>776</v>
      </c>
      <c r="M5" s="30" t="s">
        <v>815</v>
      </c>
      <c r="N5" s="30" t="s">
        <v>821</v>
      </c>
      <c r="O5" s="136"/>
      <c r="P5" s="30" t="s">
        <v>821</v>
      </c>
      <c r="S5" s="30" t="s">
        <v>794</v>
      </c>
      <c r="T5" s="30">
        <v>8007</v>
      </c>
      <c r="U5" s="30" t="s">
        <v>826</v>
      </c>
      <c r="V5" s="30" t="s">
        <v>429</v>
      </c>
    </row>
    <row r="6" spans="1:22" x14ac:dyDescent="0.3">
      <c r="A6" s="118"/>
      <c r="B6" s="139" t="s">
        <v>62</v>
      </c>
      <c r="C6" s="144" t="s">
        <v>780</v>
      </c>
      <c r="D6" s="267" t="str">
        <f>IFERROR(_xlfn.XLOOKUP(C6,L2:L6,M2:M6, ""), "")</f>
        <v>Framework agreement (for new quotes)</v>
      </c>
      <c r="E6" s="267"/>
      <c r="F6" s="268"/>
      <c r="G6" s="5"/>
      <c r="H6" s="166" t="s">
        <v>3</v>
      </c>
      <c r="I6" s="167" t="str">
        <f>IF(OR(AQ!J20="",AQ!J20="Email"),"",AQ!J20)</f>
        <v/>
      </c>
      <c r="J6" s="5"/>
      <c r="L6" s="30" t="s">
        <v>782</v>
      </c>
      <c r="M6" s="30" t="s">
        <v>816</v>
      </c>
      <c r="S6" s="30" t="s">
        <v>798</v>
      </c>
      <c r="T6" s="30">
        <v>8001</v>
      </c>
      <c r="U6" s="30" t="s">
        <v>826</v>
      </c>
      <c r="V6" s="30" t="s">
        <v>429</v>
      </c>
    </row>
    <row r="7" spans="1:22" x14ac:dyDescent="0.3">
      <c r="A7" s="118"/>
      <c r="B7" s="139" t="s">
        <v>760</v>
      </c>
      <c r="C7" s="143" t="str">
        <f>IF(C5 = "", "", C5*D7)</f>
        <v/>
      </c>
      <c r="D7" s="145"/>
      <c r="E7" s="272" t="str">
        <f>CONCATENATE(C18, "/battery (estimated)")</f>
        <v>United States Dollar/battery (estimated)</v>
      </c>
      <c r="F7" s="273"/>
      <c r="G7" s="5"/>
      <c r="H7" s="166" t="s">
        <v>773</v>
      </c>
      <c r="I7" s="167" t="str">
        <f>IF(OR(AQ!M18="",AQ!M18="Phone"),"",AQ!M18)</f>
        <v/>
      </c>
      <c r="J7" s="5"/>
      <c r="L7" s="30" t="s">
        <v>821</v>
      </c>
      <c r="S7" s="30" t="s">
        <v>791</v>
      </c>
      <c r="T7" s="30">
        <v>8003</v>
      </c>
      <c r="U7" s="30" t="s">
        <v>826</v>
      </c>
      <c r="V7" s="30" t="s">
        <v>429</v>
      </c>
    </row>
    <row r="8" spans="1:22" x14ac:dyDescent="0.3">
      <c r="A8" s="118"/>
      <c r="B8" s="139" t="s">
        <v>758</v>
      </c>
      <c r="C8" s="144" t="s">
        <v>821</v>
      </c>
      <c r="D8" s="267">
        <f>IFERROR(_xlfn.XLOOKUP(C8,N2:N5,O2:O5, ""), "")</f>
        <v>0</v>
      </c>
      <c r="E8" s="267"/>
      <c r="F8" s="268"/>
      <c r="G8" s="5"/>
      <c r="H8" s="166" t="s">
        <v>771</v>
      </c>
      <c r="I8" s="167" t="str">
        <f>IF(OR(AQ!B22="",AQ!B22="Address"),"",AQ!B22)</f>
        <v/>
      </c>
      <c r="J8" s="5"/>
      <c r="S8" s="30" t="s">
        <v>793</v>
      </c>
      <c r="T8" s="30">
        <v>8005</v>
      </c>
      <c r="U8" s="30" t="s">
        <v>826</v>
      </c>
      <c r="V8" s="30" t="s">
        <v>429</v>
      </c>
    </row>
    <row r="9" spans="1:22" x14ac:dyDescent="0.3">
      <c r="A9" s="118"/>
      <c r="B9" s="139" t="s">
        <v>761</v>
      </c>
      <c r="C9" s="144" t="s">
        <v>821</v>
      </c>
      <c r="D9" s="267" t="str">
        <f>IFERROR(_xlfn.XLOOKUP(C9,P2:P4,Q2:Q4, ""), "")</f>
        <v/>
      </c>
      <c r="E9" s="267"/>
      <c r="F9" s="268"/>
      <c r="G9" s="5"/>
      <c r="H9" s="166" t="s">
        <v>766</v>
      </c>
      <c r="I9" s="167" t="str">
        <f>IF(OR(AQ!M24="",AQ!M24="Country"),"",AQ!M24)</f>
        <v/>
      </c>
      <c r="J9" s="5"/>
      <c r="S9" s="30" t="s">
        <v>790</v>
      </c>
      <c r="T9" s="30">
        <v>8006</v>
      </c>
      <c r="U9" s="30" t="s">
        <v>826</v>
      </c>
      <c r="V9" s="30" t="s">
        <v>429</v>
      </c>
    </row>
    <row r="10" spans="1:22" x14ac:dyDescent="0.3">
      <c r="A10" s="118"/>
      <c r="B10" s="139" t="s">
        <v>757</v>
      </c>
      <c r="C10" s="143" t="str">
        <f>IF(AQ!M26 = "", "Not confidential", AQ!M26)</f>
        <v>Not confidential</v>
      </c>
      <c r="D10" s="148"/>
      <c r="E10" s="146"/>
      <c r="F10" s="147"/>
      <c r="G10" s="5"/>
      <c r="H10" s="166" t="s">
        <v>767</v>
      </c>
      <c r="I10" s="167" t="str">
        <f>IF(OR(AQ!B24="",AQ!B24="City"),"",AQ!B24)</f>
        <v/>
      </c>
      <c r="J10" s="5"/>
      <c r="S10" s="30" t="s">
        <v>792</v>
      </c>
      <c r="T10" s="30">
        <v>8004</v>
      </c>
      <c r="U10" s="30" t="s">
        <v>826</v>
      </c>
      <c r="V10" s="30" t="s">
        <v>429</v>
      </c>
    </row>
    <row r="11" spans="1:22" x14ac:dyDescent="0.3">
      <c r="A11" s="118"/>
      <c r="B11" s="139" t="s">
        <v>778</v>
      </c>
      <c r="C11" s="143" t="str">
        <f>IF(OR(AQ!B7="",AQ!B7="Project Name / Reference"),"",AQ!B7)</f>
        <v/>
      </c>
      <c r="D11" s="137"/>
      <c r="E11" s="146"/>
      <c r="F11" s="147"/>
      <c r="G11" s="5"/>
      <c r="H11" s="166" t="s">
        <v>768</v>
      </c>
      <c r="I11" s="167" t="str">
        <f>IF(OR(AQ!G24="",AQ!G24="State"),"",AQ!G24)</f>
        <v/>
      </c>
      <c r="J11" s="5"/>
      <c r="S11" s="30" t="s">
        <v>799</v>
      </c>
      <c r="T11" s="30">
        <v>8301</v>
      </c>
      <c r="U11" s="30" t="s">
        <v>827</v>
      </c>
      <c r="V11" s="30" t="s">
        <v>753</v>
      </c>
    </row>
    <row r="12" spans="1:22" ht="16.2" thickBot="1" x14ac:dyDescent="0.35">
      <c r="A12" s="118"/>
      <c r="B12" s="139" t="s">
        <v>764</v>
      </c>
      <c r="C12" s="143" t="str">
        <f>IF(AQ!P83="","",AQ!P83)</f>
        <v/>
      </c>
      <c r="D12" s="148"/>
      <c r="E12" s="146"/>
      <c r="F12" s="147"/>
      <c r="G12" s="5"/>
      <c r="H12" s="149" t="s">
        <v>769</v>
      </c>
      <c r="I12" s="168" t="str">
        <f>IF(OR(AQ!J24="",AQ!J24="ZIP/Postal Code"),"",AQ!J24)</f>
        <v/>
      </c>
      <c r="J12" s="5"/>
      <c r="S12" s="30" t="s">
        <v>800</v>
      </c>
      <c r="T12" s="30">
        <v>8302</v>
      </c>
      <c r="U12" s="30" t="s">
        <v>827</v>
      </c>
      <c r="V12" s="30" t="s">
        <v>753</v>
      </c>
    </row>
    <row r="13" spans="1:22" ht="16.8" thickTop="1" thickBot="1" x14ac:dyDescent="0.35">
      <c r="A13" s="118"/>
      <c r="B13" s="149" t="s">
        <v>779</v>
      </c>
      <c r="C13" s="150" t="str">
        <f>IF(AQ!N57 = "", "", AQ!N57)</f>
        <v/>
      </c>
      <c r="D13" s="151" t="s">
        <v>817</v>
      </c>
      <c r="E13" s="152"/>
      <c r="F13" s="153"/>
      <c r="G13" s="5"/>
      <c r="H13" s="5"/>
      <c r="I13" s="5"/>
      <c r="J13" s="5"/>
      <c r="S13" s="30" t="s">
        <v>801</v>
      </c>
      <c r="T13" s="30">
        <v>8303</v>
      </c>
      <c r="U13" s="30" t="s">
        <v>827</v>
      </c>
      <c r="V13" s="30" t="s">
        <v>753</v>
      </c>
    </row>
    <row r="14" spans="1:22" ht="6" customHeight="1" thickTop="1" thickBot="1" x14ac:dyDescent="0.35">
      <c r="B14" s="130"/>
      <c r="C14" s="130"/>
      <c r="D14" s="133"/>
      <c r="E14" s="131"/>
      <c r="F14" s="131"/>
      <c r="G14" s="5"/>
      <c r="H14" s="5"/>
      <c r="I14" s="5"/>
      <c r="J14" s="5"/>
      <c r="S14" s="30" t="s">
        <v>802</v>
      </c>
      <c r="T14" s="30">
        <v>8304</v>
      </c>
      <c r="U14" s="30" t="s">
        <v>827</v>
      </c>
      <c r="V14" s="30" t="s">
        <v>753</v>
      </c>
    </row>
    <row r="15" spans="1:22" ht="16.8" thickTop="1" thickBot="1" x14ac:dyDescent="0.35">
      <c r="A15" s="116"/>
      <c r="B15" s="269" t="s">
        <v>820</v>
      </c>
      <c r="C15" s="270"/>
      <c r="D15" s="270"/>
      <c r="E15" s="270"/>
      <c r="F15" s="271"/>
      <c r="G15" s="5"/>
      <c r="H15" s="5"/>
      <c r="I15" s="5"/>
      <c r="J15" s="5"/>
      <c r="S15" s="30" t="s">
        <v>803</v>
      </c>
      <c r="T15" s="30">
        <v>8305</v>
      </c>
      <c r="U15" s="30" t="s">
        <v>827</v>
      </c>
      <c r="V15" s="30" t="s">
        <v>753</v>
      </c>
    </row>
    <row r="16" spans="1:22" ht="16.2" thickTop="1" x14ac:dyDescent="0.3">
      <c r="A16" s="116"/>
      <c r="B16" s="154" t="s">
        <v>751</v>
      </c>
      <c r="C16" s="155" t="str">
        <f>IF(OR(AQ!B16="",AQ!B16="Company Name"),"",AQ!B16)</f>
        <v/>
      </c>
      <c r="D16" s="137" t="s">
        <v>818</v>
      </c>
      <c r="E16" s="146"/>
      <c r="F16" s="147"/>
      <c r="G16" s="5"/>
      <c r="H16" s="5"/>
      <c r="I16" s="5"/>
      <c r="J16" s="5"/>
      <c r="S16" s="30" t="s">
        <v>804</v>
      </c>
      <c r="T16" s="30" t="s">
        <v>804</v>
      </c>
      <c r="U16" s="30" t="s">
        <v>804</v>
      </c>
      <c r="V16" s="30" t="s">
        <v>753</v>
      </c>
    </row>
    <row r="17" spans="1:10" x14ac:dyDescent="0.3">
      <c r="A17" s="116"/>
      <c r="B17" s="154" t="s">
        <v>775</v>
      </c>
      <c r="C17" s="155" t="str">
        <f>IF(OR(AQ!B16="",AQ!B16="Company Name"),"",AQ!B16)</f>
        <v/>
      </c>
      <c r="D17" s="137" t="s">
        <v>819</v>
      </c>
      <c r="E17" s="146"/>
      <c r="F17" s="147"/>
      <c r="G17" s="5"/>
      <c r="H17" s="5"/>
      <c r="I17" s="5"/>
      <c r="J17" s="5"/>
    </row>
    <row r="18" spans="1:10" x14ac:dyDescent="0.3">
      <c r="A18" s="116"/>
      <c r="B18" s="154" t="s">
        <v>77</v>
      </c>
      <c r="C18" s="155" t="str">
        <f>IFERROR(_xlfn.XLOOKUP(C19, S2:S16, V2:V16, ""), "")</f>
        <v>United States Dollar</v>
      </c>
      <c r="D18" s="137"/>
      <c r="E18" s="146"/>
      <c r="F18" s="147"/>
      <c r="G18" s="5"/>
      <c r="H18" s="5"/>
      <c r="I18" s="5"/>
      <c r="J18" s="5"/>
    </row>
    <row r="19" spans="1:10" x14ac:dyDescent="0.3">
      <c r="A19" s="116"/>
      <c r="B19" s="154" t="s">
        <v>754</v>
      </c>
      <c r="C19" s="155" t="s">
        <v>804</v>
      </c>
      <c r="D19" s="156"/>
      <c r="E19" s="157"/>
      <c r="F19" s="158" t="str">
        <f>IFERROR(_xlfn.XLOOKUP(C19, S2:S16, T2:T16, ""), "")</f>
        <v>Select your name</v>
      </c>
      <c r="G19" s="5"/>
      <c r="H19" s="5"/>
      <c r="I19" s="5"/>
      <c r="J19" s="5"/>
    </row>
    <row r="20" spans="1:10" x14ac:dyDescent="0.3">
      <c r="A20" s="116"/>
      <c r="B20" s="154" t="s">
        <v>612</v>
      </c>
      <c r="C20" s="155" t="str">
        <f>IF(OR(AQ!Q14="", ISERROR(FIND(" ", AQ!Q14))), "", "CSE " &amp; MID(AQ!Q14, FIND(" ", AQ!Q14) + 1, 999))</f>
        <v/>
      </c>
      <c r="D20" s="137"/>
      <c r="E20" s="146"/>
      <c r="F20" s="147"/>
      <c r="G20" s="5"/>
      <c r="H20" s="5"/>
      <c r="I20" s="5"/>
      <c r="J20" s="5"/>
    </row>
    <row r="21" spans="1:10" x14ac:dyDescent="0.3">
      <c r="A21" s="116"/>
      <c r="B21" s="154" t="s">
        <v>611</v>
      </c>
      <c r="C21" s="155" t="str">
        <f>IF(AQ!D14="", "", "CSE " &amp; AQ!D14)</f>
        <v/>
      </c>
      <c r="D21" s="137"/>
      <c r="E21" s="146"/>
      <c r="F21" s="147"/>
      <c r="G21" s="5"/>
      <c r="H21" s="5"/>
      <c r="I21" s="5"/>
      <c r="J21" s="5"/>
    </row>
    <row r="22" spans="1:10" x14ac:dyDescent="0.3">
      <c r="A22" s="116"/>
      <c r="B22" s="154" t="s">
        <v>155</v>
      </c>
      <c r="C22" s="155" t="str">
        <f>IF(AQ!K14="", "", "CSE " &amp; AQ!K14)</f>
        <v/>
      </c>
      <c r="D22" s="137"/>
      <c r="E22" s="146"/>
      <c r="F22" s="147"/>
      <c r="G22" s="5"/>
      <c r="H22" s="5"/>
      <c r="I22" s="5"/>
      <c r="J22" s="5"/>
    </row>
    <row r="23" spans="1:10" x14ac:dyDescent="0.3">
      <c r="A23" s="116"/>
      <c r="B23" s="154" t="s">
        <v>755</v>
      </c>
      <c r="C23" s="155" t="str">
        <f>IF(OR(AQ!M24="",AQ!M24="Country"),"",AQ!M24)</f>
        <v/>
      </c>
      <c r="D23" s="137"/>
      <c r="E23" s="146"/>
      <c r="F23" s="147"/>
      <c r="G23" s="5"/>
      <c r="H23" s="5"/>
      <c r="I23" s="5"/>
      <c r="J23" s="5"/>
    </row>
    <row r="24" spans="1:10" ht="16.2" thickBot="1" x14ac:dyDescent="0.35">
      <c r="B24" s="159" t="s">
        <v>777</v>
      </c>
      <c r="C24" s="160" t="str">
        <f>IFERROR(_xlfn.XLOOKUP(C19, S2:S16, U2:U16, ""), "")</f>
        <v>Select your name</v>
      </c>
      <c r="D24" s="161"/>
      <c r="E24" s="162"/>
      <c r="F24" s="163"/>
      <c r="G24" s="5"/>
      <c r="H24" s="5"/>
      <c r="I24" s="5"/>
      <c r="J24" s="5"/>
    </row>
    <row r="25" spans="1:10" ht="9.6" customHeight="1" thickTop="1" thickBot="1" x14ac:dyDescent="0.35">
      <c r="D25" s="134"/>
      <c r="E25" s="5"/>
      <c r="F25" s="5"/>
      <c r="G25" s="5"/>
      <c r="H25" s="5"/>
      <c r="I25" s="5"/>
      <c r="J25" s="5"/>
    </row>
    <row r="26" spans="1:10" ht="16.8" thickTop="1" thickBot="1" x14ac:dyDescent="0.35">
      <c r="B26" s="123"/>
      <c r="C26" s="121" t="s">
        <v>810</v>
      </c>
      <c r="D26" s="134"/>
      <c r="E26" s="5"/>
      <c r="F26" s="5"/>
      <c r="G26" s="5"/>
      <c r="H26" s="5"/>
      <c r="I26" s="5"/>
      <c r="J26" s="5"/>
    </row>
    <row r="27" spans="1:10" ht="16.2" thickTop="1" x14ac:dyDescent="0.3">
      <c r="B27" s="119"/>
      <c r="C27" s="121" t="s">
        <v>809</v>
      </c>
      <c r="E27" s="5"/>
      <c r="F27" s="5"/>
      <c r="G27" s="5"/>
      <c r="H27" s="5"/>
      <c r="I27" s="5"/>
      <c r="J27" s="5"/>
    </row>
    <row r="28" spans="1:10" x14ac:dyDescent="0.3">
      <c r="B28" s="120"/>
      <c r="C28" s="121" t="s">
        <v>811</v>
      </c>
      <c r="E28" s="5"/>
      <c r="F28" s="5"/>
      <c r="G28" s="5"/>
      <c r="H28" s="5"/>
      <c r="I28" s="5"/>
      <c r="J28" s="5"/>
    </row>
    <row r="29" spans="1:10" x14ac:dyDescent="0.3">
      <c r="B29" s="115"/>
      <c r="C29" s="121" t="s">
        <v>813</v>
      </c>
      <c r="E29" s="5"/>
      <c r="F29" s="5"/>
      <c r="G29" s="5"/>
      <c r="H29" s="5"/>
      <c r="I29" s="5"/>
      <c r="J29" s="5"/>
    </row>
    <row r="30" spans="1:10" x14ac:dyDescent="0.3">
      <c r="B30" s="5"/>
      <c r="C30" s="5"/>
      <c r="D30" s="134"/>
      <c r="E30" s="5"/>
      <c r="F30" s="5"/>
      <c r="G30" s="5"/>
      <c r="H30" s="5"/>
      <c r="I30" s="5"/>
      <c r="J30" s="5"/>
    </row>
    <row r="31" spans="1:10" x14ac:dyDescent="0.3">
      <c r="B31" s="5"/>
      <c r="C31" s="5"/>
      <c r="D31" s="134"/>
      <c r="E31" s="5"/>
      <c r="F31" s="5"/>
      <c r="G31" s="5"/>
      <c r="H31" s="5"/>
      <c r="I31" s="5"/>
      <c r="J31" s="5"/>
    </row>
    <row r="32" spans="1:10" x14ac:dyDescent="0.3">
      <c r="B32" s="5"/>
      <c r="C32" s="5"/>
      <c r="D32" s="134"/>
      <c r="E32" s="5"/>
      <c r="F32" s="5"/>
      <c r="G32" s="5"/>
      <c r="H32" s="5"/>
      <c r="I32" s="5"/>
      <c r="J32" s="5"/>
    </row>
    <row r="33" spans="4:10" x14ac:dyDescent="0.3">
      <c r="D33" s="134"/>
      <c r="E33" s="5"/>
      <c r="F33" s="5"/>
      <c r="G33" s="5"/>
      <c r="H33" s="5"/>
      <c r="I33" s="5"/>
      <c r="J33" s="5"/>
    </row>
    <row r="34" spans="4:10" x14ac:dyDescent="0.3">
      <c r="D34" s="134"/>
      <c r="E34" s="5"/>
      <c r="F34" s="5"/>
      <c r="G34" s="5"/>
      <c r="H34" s="5"/>
      <c r="I34" s="5"/>
      <c r="J34" s="5"/>
    </row>
    <row r="35" spans="4:10" x14ac:dyDescent="0.3">
      <c r="D35" s="134"/>
      <c r="E35" s="5"/>
      <c r="F35" s="5"/>
      <c r="G35" s="5"/>
      <c r="H35" s="5"/>
      <c r="I35" s="5"/>
      <c r="J35" s="5"/>
    </row>
    <row r="36" spans="4:10" x14ac:dyDescent="0.3">
      <c r="D36" s="134"/>
      <c r="E36" s="5"/>
      <c r="F36" s="5"/>
      <c r="G36" s="5"/>
      <c r="H36" s="5"/>
      <c r="I36" s="5"/>
      <c r="J36" s="5"/>
    </row>
    <row r="37" spans="4:10" x14ac:dyDescent="0.3">
      <c r="D37" s="134"/>
      <c r="E37" s="5"/>
      <c r="F37" s="5"/>
    </row>
  </sheetData>
  <sheetProtection algorithmName="SHA-512" hashValue="sfrO4vJfiCWlW5yqRlCTrILz19a3aUF3gi5NTLnRZKuDfm0OadmJbv6RnOIF8DQ8H48nnRAL/C4EiIGpj+3B7A==" saltValue="XGcHVgTkq7NQlrld+FSfeA==" spinCount="100000" sheet="1" objects="1" scenarios="1" selectLockedCells="1"/>
  <mergeCells count="10">
    <mergeCell ref="H2:I2"/>
    <mergeCell ref="B2:C2"/>
    <mergeCell ref="D2:F2"/>
    <mergeCell ref="D3:F3"/>
    <mergeCell ref="B15:F15"/>
    <mergeCell ref="D5:F5"/>
    <mergeCell ref="E7:F7"/>
    <mergeCell ref="D6:F6"/>
    <mergeCell ref="D8:F8"/>
    <mergeCell ref="D9:F9"/>
  </mergeCells>
  <conditionalFormatting sqref="B2:I29">
    <cfRule type="expression" dxfId="5" priority="1">
      <formula>$A$1="."</formula>
    </cfRule>
  </conditionalFormatting>
  <conditionalFormatting sqref="C6">
    <cfRule type="cellIs" dxfId="4" priority="3" operator="equal">
      <formula>"Select"</formula>
    </cfRule>
  </conditionalFormatting>
  <conditionalFormatting sqref="C8:C9">
    <cfRule type="cellIs" dxfId="3" priority="2" operator="equal">
      <formula>"Select"</formula>
    </cfRule>
  </conditionalFormatting>
  <conditionalFormatting sqref="C19">
    <cfRule type="cellIs" dxfId="2" priority="6" operator="equal">
      <formula>"Select your name"</formula>
    </cfRule>
  </conditionalFormatting>
  <conditionalFormatting sqref="D7">
    <cfRule type="containsBlanks" dxfId="1" priority="4">
      <formula>LEN(TRIM(D7))=0</formula>
    </cfRule>
  </conditionalFormatting>
  <conditionalFormatting sqref="E4">
    <cfRule type="containsBlanks" dxfId="0" priority="7">
      <formula>LEN(TRIM(E4))=0</formula>
    </cfRule>
  </conditionalFormatting>
  <dataValidations count="5">
    <dataValidation type="list" showInputMessage="1" showErrorMessage="1" sqref="C6" xr:uid="{E524D33C-83A6-4243-8343-9E862A86BAEB}">
      <formula1>$L$2:$L$7</formula1>
    </dataValidation>
    <dataValidation type="list" showInputMessage="1" showErrorMessage="1" sqref="C8" xr:uid="{8641EBEE-2C64-442C-B882-43A881CDAD97}">
      <formula1>$N$2:$N$5</formula1>
    </dataValidation>
    <dataValidation type="list" showInputMessage="1" showErrorMessage="1" sqref="C9" xr:uid="{08E16FD7-92FB-486D-ADBB-05B5BBFE857C}">
      <formula1>$P$2:$P$5</formula1>
    </dataValidation>
    <dataValidation type="list" allowBlank="1" showInputMessage="1" showErrorMessage="1" sqref="C18" xr:uid="{769D5054-3B45-43C4-BF53-0EF81B6458BA}">
      <formula1>$R$2:$R$4</formula1>
    </dataValidation>
    <dataValidation type="list" showInputMessage="1" showErrorMessage="1" sqref="C19" xr:uid="{32EF83E2-9A55-4F9F-9ED2-A16C2D32AB12}">
      <formula1>$S$2:$S$16</formula1>
    </dataValidation>
  </dataValidations>
  <pageMargins left="0.7" right="0.7" top="0.75" bottom="0.75" header="0.3" footer="0.3"/>
  <ignoredErrors>
    <ignoredError sqref="B3:I3 B7:I7 B6 D6:I6 B10:I13 B8 D8:I8 B9 D9:I9 B20:I24 B19 D19:I19 B5:I5 B4:D4 F4:I4 B15:I18 C14:I14" unlocked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D6673-E74D-4CAC-8479-64567E16053A}">
  <dimension ref="A1:S59"/>
  <sheetViews>
    <sheetView zoomScaleNormal="100" workbookViewId="0">
      <selection activeCell="J23" sqref="J23"/>
    </sheetView>
  </sheetViews>
  <sheetFormatPr defaultRowHeight="15.6" x14ac:dyDescent="0.3"/>
  <cols>
    <col min="1" max="1" width="2.59765625" style="68" customWidth="1"/>
    <col min="2" max="3" width="8.796875" style="69"/>
    <col min="4" max="4" width="6.5" style="69" customWidth="1"/>
    <col min="5" max="5" width="8.796875" style="69"/>
    <col min="6" max="6" width="11.59765625" style="69" customWidth="1"/>
    <col min="7" max="8" width="8.796875" style="69"/>
    <col min="9" max="9" width="11" style="69" customWidth="1"/>
    <col min="10" max="16384" width="8.796875" style="69"/>
  </cols>
  <sheetData>
    <row r="1" spans="1:19" s="66" customFormat="1" ht="12" customHeight="1" thickTop="1" thickBot="1" x14ac:dyDescent="0.35">
      <c r="A1" s="65"/>
      <c r="E1" s="67"/>
      <c r="F1" s="76"/>
      <c r="G1" s="65"/>
      <c r="S1" s="65"/>
    </row>
    <row r="2" spans="1:19" ht="20.399999999999999" customHeight="1" thickTop="1" thickBot="1" x14ac:dyDescent="0.5">
      <c r="A2" s="276" t="s">
        <v>544</v>
      </c>
      <c r="B2" s="276"/>
      <c r="C2" s="276"/>
      <c r="D2" s="276"/>
      <c r="E2" s="276"/>
      <c r="F2" s="276"/>
      <c r="G2" s="276"/>
      <c r="H2" s="276"/>
      <c r="I2" s="276"/>
      <c r="J2" s="276"/>
      <c r="K2" s="276"/>
      <c r="L2" s="276"/>
      <c r="M2" s="276"/>
      <c r="N2" s="276"/>
      <c r="O2" s="276"/>
      <c r="P2" s="276"/>
      <c r="Q2" s="277"/>
      <c r="S2" s="68"/>
    </row>
    <row r="3" spans="1:19" ht="13.8" customHeight="1" thickTop="1" x14ac:dyDescent="0.45">
      <c r="A3" s="71"/>
      <c r="B3" s="72"/>
      <c r="C3" s="72"/>
      <c r="D3" s="72"/>
      <c r="E3" s="78"/>
      <c r="F3" s="79"/>
      <c r="G3" s="71"/>
      <c r="S3" s="68"/>
    </row>
    <row r="4" spans="1:19" ht="15" customHeight="1" x14ac:dyDescent="0.45">
      <c r="E4" s="73"/>
      <c r="H4" s="69" t="s">
        <v>534</v>
      </c>
      <c r="S4" s="68"/>
    </row>
    <row r="5" spans="1:19" ht="13.2" customHeight="1" x14ac:dyDescent="0.3">
      <c r="H5" s="72"/>
      <c r="I5" s="72"/>
      <c r="J5" s="72"/>
      <c r="K5" s="72"/>
      <c r="L5" s="72"/>
      <c r="M5" s="72"/>
      <c r="N5" s="72"/>
      <c r="O5" s="72"/>
      <c r="P5" s="72"/>
      <c r="Q5" s="72"/>
    </row>
    <row r="6" spans="1:19" ht="16.2" thickBot="1" x14ac:dyDescent="0.35">
      <c r="B6" s="106" t="s">
        <v>469</v>
      </c>
      <c r="C6" s="106"/>
      <c r="D6" s="106"/>
      <c r="E6" s="106"/>
      <c r="F6" s="106"/>
      <c r="G6" s="107"/>
      <c r="H6" s="86" t="s">
        <v>546</v>
      </c>
      <c r="I6" s="85"/>
      <c r="J6" s="85"/>
      <c r="K6" s="85"/>
      <c r="L6" s="85"/>
      <c r="M6" s="85"/>
      <c r="N6" s="85"/>
      <c r="O6" s="85"/>
      <c r="P6" s="85"/>
      <c r="Q6" s="89" t="s">
        <v>547</v>
      </c>
      <c r="R6" s="68"/>
    </row>
    <row r="7" spans="1:19" ht="16.8" thickTop="1" thickBot="1" x14ac:dyDescent="0.35">
      <c r="B7" s="66"/>
      <c r="C7" s="66"/>
      <c r="D7" s="66"/>
      <c r="E7" s="66"/>
      <c r="F7" s="66"/>
      <c r="G7" s="105"/>
      <c r="H7" s="91"/>
      <c r="I7" s="92"/>
      <c r="J7" s="66"/>
      <c r="K7" s="66"/>
      <c r="L7" s="92"/>
      <c r="M7" s="92"/>
      <c r="N7" s="66"/>
      <c r="O7" s="66"/>
      <c r="P7" s="92"/>
      <c r="Q7" s="96"/>
      <c r="R7" s="68"/>
    </row>
    <row r="8" spans="1:19" x14ac:dyDescent="0.3">
      <c r="G8" s="74"/>
      <c r="H8" s="88"/>
      <c r="I8" s="83"/>
      <c r="J8" s="65"/>
      <c r="K8" s="83"/>
      <c r="L8" s="97"/>
      <c r="M8" s="64"/>
      <c r="N8" s="82"/>
      <c r="O8" s="83"/>
      <c r="P8" s="5"/>
      <c r="Q8" s="84"/>
      <c r="R8" s="68"/>
    </row>
    <row r="9" spans="1:19" x14ac:dyDescent="0.3">
      <c r="G9" s="74"/>
      <c r="H9" s="278" t="s">
        <v>523</v>
      </c>
      <c r="I9" s="279"/>
      <c r="J9" s="68"/>
      <c r="K9" s="77"/>
      <c r="L9" s="68"/>
      <c r="M9" s="81"/>
      <c r="N9" s="80"/>
      <c r="O9" s="77"/>
      <c r="P9" s="80"/>
      <c r="Q9" s="74"/>
      <c r="R9" s="68"/>
    </row>
    <row r="10" spans="1:19" x14ac:dyDescent="0.3">
      <c r="G10" s="70"/>
      <c r="H10" s="278" t="s">
        <v>540</v>
      </c>
      <c r="I10" s="279"/>
      <c r="J10" s="68"/>
      <c r="K10" s="77"/>
      <c r="L10" s="68"/>
      <c r="M10" s="81"/>
      <c r="N10" s="80"/>
      <c r="O10" s="77"/>
      <c r="P10" s="80"/>
      <c r="Q10" s="74"/>
      <c r="R10" s="68"/>
    </row>
    <row r="11" spans="1:19" x14ac:dyDescent="0.3">
      <c r="G11" s="74"/>
      <c r="H11" s="280" t="s">
        <v>541</v>
      </c>
      <c r="I11" s="232"/>
      <c r="J11" s="80"/>
      <c r="K11" s="77"/>
      <c r="L11" s="68"/>
      <c r="M11" s="81"/>
      <c r="N11" s="80"/>
      <c r="O11" s="77"/>
      <c r="P11" s="80"/>
      <c r="Q11" s="74"/>
      <c r="R11" s="68"/>
    </row>
    <row r="12" spans="1:19" x14ac:dyDescent="0.3">
      <c r="B12" s="69" t="s">
        <v>542</v>
      </c>
      <c r="F12" s="72"/>
      <c r="G12" s="75"/>
      <c r="H12" s="68"/>
      <c r="I12" s="77"/>
      <c r="J12" s="80"/>
      <c r="K12" s="77"/>
      <c r="L12" s="68"/>
      <c r="M12" s="81"/>
      <c r="N12" s="80"/>
      <c r="O12" s="77"/>
      <c r="P12" s="80"/>
      <c r="Q12" s="74"/>
      <c r="R12" s="68"/>
    </row>
    <row r="13" spans="1:19" ht="16.2" thickBot="1" x14ac:dyDescent="0.35">
      <c r="B13" s="106" t="s">
        <v>543</v>
      </c>
      <c r="C13" s="106"/>
      <c r="D13" s="108"/>
      <c r="E13" s="85"/>
      <c r="F13" s="86"/>
      <c r="G13" s="87"/>
      <c r="H13" s="68"/>
      <c r="I13" s="77"/>
      <c r="J13" s="80"/>
      <c r="K13" s="77"/>
      <c r="L13" s="68"/>
      <c r="M13" s="81"/>
      <c r="N13" s="80"/>
      <c r="O13" s="77"/>
      <c r="P13" s="80"/>
      <c r="Q13" s="74"/>
      <c r="R13" s="68"/>
    </row>
    <row r="14" spans="1:19" x14ac:dyDescent="0.3">
      <c r="B14" s="65"/>
      <c r="C14" s="66"/>
      <c r="D14" s="84"/>
      <c r="E14" s="65"/>
      <c r="F14" s="65"/>
      <c r="G14" s="67"/>
      <c r="H14" s="68"/>
      <c r="I14" s="77"/>
      <c r="K14" s="77"/>
      <c r="L14" s="68"/>
      <c r="M14" s="81"/>
      <c r="N14" s="80"/>
      <c r="O14" s="77"/>
      <c r="P14" s="80"/>
      <c r="Q14" s="74"/>
      <c r="R14" s="68"/>
    </row>
    <row r="15" spans="1:19" x14ac:dyDescent="0.3">
      <c r="B15" s="68"/>
      <c r="D15" s="74"/>
      <c r="E15" s="68"/>
      <c r="F15" s="68"/>
      <c r="G15" s="70"/>
      <c r="H15" s="68"/>
      <c r="I15" s="77"/>
      <c r="J15" s="281"/>
      <c r="K15" s="279"/>
      <c r="L15" s="68"/>
      <c r="M15" s="81"/>
      <c r="N15" s="80"/>
      <c r="O15" s="77"/>
      <c r="P15" s="80"/>
      <c r="Q15" s="74"/>
      <c r="R15" s="68"/>
    </row>
    <row r="16" spans="1:19" ht="16.2" thickBot="1" x14ac:dyDescent="0.35">
      <c r="B16" s="85"/>
      <c r="C16" s="85"/>
      <c r="D16" s="87"/>
      <c r="E16" s="101"/>
      <c r="F16" s="102"/>
      <c r="G16" s="103"/>
      <c r="H16" s="102"/>
      <c r="I16" s="104"/>
      <c r="J16" s="274" t="s">
        <v>538</v>
      </c>
      <c r="K16" s="275"/>
      <c r="L16" s="98"/>
      <c r="M16" s="100"/>
      <c r="N16" s="93"/>
      <c r="O16" s="95"/>
      <c r="P16" s="98"/>
      <c r="Q16" s="99"/>
      <c r="R16" s="101"/>
    </row>
    <row r="17" spans="1:19" ht="16.2" customHeight="1" thickTop="1" x14ac:dyDescent="0.3">
      <c r="B17" s="289" t="s">
        <v>545</v>
      </c>
      <c r="C17" s="290"/>
      <c r="D17" s="290"/>
      <c r="E17" s="287" t="s">
        <v>535</v>
      </c>
      <c r="F17" s="287"/>
      <c r="G17" s="287"/>
      <c r="H17" s="65"/>
      <c r="I17" s="67"/>
      <c r="J17" s="65"/>
      <c r="K17" s="66"/>
      <c r="L17" s="65"/>
    </row>
    <row r="18" spans="1:19" x14ac:dyDescent="0.3">
      <c r="B18" s="291"/>
      <c r="C18" s="292"/>
      <c r="D18" s="292"/>
      <c r="E18" s="288"/>
      <c r="F18" s="288"/>
      <c r="G18" s="288"/>
      <c r="I18" s="66"/>
      <c r="J18" s="66"/>
      <c r="K18" s="66"/>
      <c r="L18" s="66"/>
      <c r="M18" s="66"/>
      <c r="N18" s="66"/>
      <c r="O18" s="66"/>
      <c r="P18" s="66"/>
      <c r="Q18" s="66"/>
      <c r="R18" s="66"/>
      <c r="S18" s="66"/>
    </row>
    <row r="19" spans="1:19" ht="20.399999999999999" customHeight="1" x14ac:dyDescent="0.3">
      <c r="B19" s="69" t="s">
        <v>550</v>
      </c>
      <c r="C19" s="66"/>
      <c r="D19" s="66"/>
      <c r="E19" s="68" t="s">
        <v>549</v>
      </c>
      <c r="F19" s="68"/>
      <c r="H19" s="69" t="s">
        <v>548</v>
      </c>
      <c r="M19" s="282" t="s">
        <v>539</v>
      </c>
      <c r="N19" s="283"/>
      <c r="O19" s="283"/>
      <c r="P19" s="283"/>
      <c r="Q19" s="283"/>
      <c r="R19" s="283"/>
      <c r="S19" s="283"/>
    </row>
    <row r="21" spans="1:19" ht="16.2" thickBot="1" x14ac:dyDescent="0.35">
      <c r="A21" s="65"/>
      <c r="B21" s="72"/>
      <c r="C21" s="284" t="s">
        <v>551</v>
      </c>
      <c r="D21" s="284"/>
      <c r="E21" s="94"/>
      <c r="F21" s="285" t="s">
        <v>52</v>
      </c>
      <c r="G21" s="286"/>
    </row>
    <row r="22" spans="1:19" ht="16.2" thickTop="1" x14ac:dyDescent="0.3">
      <c r="B22" s="90"/>
      <c r="C22" s="284"/>
      <c r="D22" s="284"/>
      <c r="E22" s="66"/>
      <c r="F22" s="285"/>
      <c r="G22" s="286"/>
    </row>
    <row r="23" spans="1:19" x14ac:dyDescent="0.3">
      <c r="A23" s="65"/>
      <c r="B23" s="66"/>
      <c r="C23" s="66"/>
      <c r="D23" s="66"/>
      <c r="E23" s="66"/>
      <c r="F23" s="68"/>
    </row>
    <row r="46" spans="3:15" hidden="1" x14ac:dyDescent="0.3">
      <c r="C46" s="28"/>
      <c r="D46" s="28"/>
      <c r="E46" s="28"/>
      <c r="F46" s="28"/>
      <c r="G46" s="28"/>
      <c r="H46" s="28"/>
      <c r="I46" s="28"/>
      <c r="J46" s="28"/>
      <c r="K46" s="28"/>
      <c r="L46" s="28"/>
      <c r="M46" s="28"/>
      <c r="N46" s="28"/>
      <c r="O46" s="28"/>
    </row>
    <row r="47" spans="3:15" ht="18" hidden="1" x14ac:dyDescent="0.35">
      <c r="C47" s="28"/>
      <c r="D47" s="28"/>
      <c r="E47" s="28"/>
      <c r="F47" s="28"/>
      <c r="G47" s="47" t="s">
        <v>502</v>
      </c>
      <c r="H47" s="48"/>
      <c r="I47" s="48"/>
      <c r="J47" s="48"/>
      <c r="K47" s="48"/>
      <c r="L47" s="28"/>
      <c r="M47" s="28"/>
      <c r="N47" s="28"/>
      <c r="O47" s="28"/>
    </row>
    <row r="48" spans="3:15" ht="18" hidden="1" x14ac:dyDescent="0.35">
      <c r="C48" s="28"/>
      <c r="D48" s="28"/>
      <c r="E48" s="28"/>
      <c r="F48" s="28"/>
      <c r="G48" s="47" t="s">
        <v>504</v>
      </c>
      <c r="H48" s="48"/>
      <c r="I48" s="48"/>
      <c r="J48" s="48"/>
      <c r="K48" s="48"/>
      <c r="L48" s="28"/>
      <c r="M48" s="28"/>
      <c r="N48" s="28"/>
      <c r="O48" s="28"/>
    </row>
    <row r="49" spans="3:15" ht="18.600000000000001" hidden="1" thickBot="1" x14ac:dyDescent="0.4">
      <c r="C49" s="28"/>
      <c r="D49" s="28"/>
      <c r="E49" s="28"/>
      <c r="F49" s="28"/>
      <c r="G49" s="47"/>
      <c r="H49" s="48"/>
      <c r="I49" s="48"/>
      <c r="J49" s="48"/>
      <c r="K49" s="48"/>
      <c r="L49" s="28"/>
      <c r="M49" s="40"/>
      <c r="N49" s="28"/>
      <c r="O49" s="28"/>
    </row>
    <row r="50" spans="3:15" ht="18.600000000000001" hidden="1" thickTop="1" x14ac:dyDescent="0.35">
      <c r="C50" s="28"/>
      <c r="D50" s="28"/>
      <c r="E50" s="47" t="s">
        <v>501</v>
      </c>
      <c r="F50" s="28"/>
      <c r="G50" s="49"/>
      <c r="H50" s="48"/>
      <c r="I50" s="48"/>
      <c r="J50" s="48"/>
      <c r="K50" s="48"/>
      <c r="L50" s="37"/>
      <c r="M50" s="38"/>
      <c r="N50" s="36"/>
      <c r="O50" s="28"/>
    </row>
    <row r="51" spans="3:15" ht="18" hidden="1" x14ac:dyDescent="0.35">
      <c r="C51" s="28"/>
      <c r="D51" s="28"/>
      <c r="E51" s="47" t="s">
        <v>504</v>
      </c>
      <c r="F51" s="37"/>
      <c r="G51" s="50"/>
      <c r="H51" s="48"/>
      <c r="I51" s="48"/>
      <c r="J51" s="48"/>
      <c r="K51" s="48"/>
      <c r="L51" s="37"/>
      <c r="M51" s="41"/>
      <c r="N51" s="36"/>
      <c r="O51" s="28"/>
    </row>
    <row r="52" spans="3:15" ht="18.600000000000001" hidden="1" thickBot="1" x14ac:dyDescent="0.4">
      <c r="C52" s="28"/>
      <c r="D52" s="28"/>
      <c r="E52" s="45"/>
      <c r="F52" s="28"/>
      <c r="G52" s="50"/>
      <c r="H52" s="48"/>
      <c r="I52" s="48"/>
      <c r="J52" s="48"/>
      <c r="K52" s="51"/>
      <c r="L52" s="37"/>
      <c r="M52" s="41"/>
      <c r="N52" s="36"/>
      <c r="O52" s="28"/>
    </row>
    <row r="53" spans="3:15" ht="18.600000000000001" hidden="1" thickTop="1" x14ac:dyDescent="0.35">
      <c r="C53" s="28"/>
      <c r="D53" s="28"/>
      <c r="E53" s="38"/>
      <c r="F53" s="42"/>
      <c r="G53" s="50"/>
      <c r="H53" s="48"/>
      <c r="I53" s="52"/>
      <c r="J53" s="53"/>
      <c r="K53" s="49"/>
      <c r="L53" s="42"/>
      <c r="M53" s="41"/>
      <c r="N53" s="36"/>
      <c r="O53" s="28"/>
    </row>
    <row r="54" spans="3:15" ht="18.600000000000001" hidden="1" thickBot="1" x14ac:dyDescent="0.4">
      <c r="C54" s="28"/>
      <c r="D54" s="46"/>
      <c r="E54" s="41"/>
      <c r="F54" s="39"/>
      <c r="G54" s="50"/>
      <c r="H54" s="51"/>
      <c r="I54" s="54" t="s">
        <v>500</v>
      </c>
      <c r="J54" s="55"/>
      <c r="K54" s="50"/>
      <c r="L54" s="39"/>
      <c r="M54" s="41"/>
      <c r="N54" s="40"/>
      <c r="O54" s="28"/>
    </row>
    <row r="55" spans="3:15" ht="18.600000000000001" hidden="1" thickTop="1" x14ac:dyDescent="0.35">
      <c r="C55" s="28"/>
      <c r="D55" s="43"/>
      <c r="E55" s="44"/>
      <c r="F55" s="35"/>
      <c r="G55" s="47"/>
      <c r="H55" s="56"/>
      <c r="I55" s="56"/>
      <c r="J55" s="56"/>
      <c r="K55" s="48"/>
      <c r="L55" s="35"/>
      <c r="M55" s="28"/>
      <c r="N55" s="35"/>
      <c r="O55" s="28"/>
    </row>
    <row r="56" spans="3:15" ht="18" hidden="1" x14ac:dyDescent="0.35">
      <c r="C56" s="28"/>
      <c r="D56" s="28"/>
      <c r="E56" s="28"/>
      <c r="F56" s="28"/>
      <c r="G56" s="47"/>
      <c r="H56" s="47" t="s">
        <v>505</v>
      </c>
      <c r="I56" s="48"/>
      <c r="J56" s="48"/>
      <c r="K56" s="48"/>
      <c r="L56" s="28"/>
      <c r="M56" s="28"/>
      <c r="N56" s="28"/>
      <c r="O56" s="28"/>
    </row>
    <row r="57" spans="3:15" ht="18" hidden="1" x14ac:dyDescent="0.35">
      <c r="C57" s="28"/>
      <c r="D57" s="28"/>
      <c r="E57" s="28"/>
      <c r="F57" s="28"/>
      <c r="G57" s="47"/>
      <c r="H57" s="48"/>
      <c r="I57" s="47" t="s">
        <v>506</v>
      </c>
      <c r="J57" s="48"/>
      <c r="K57" s="48"/>
      <c r="L57" s="28"/>
      <c r="M57" s="28"/>
      <c r="N57" s="28"/>
      <c r="O57" s="28"/>
    </row>
    <row r="58" spans="3:15" ht="18" hidden="1" x14ac:dyDescent="0.35">
      <c r="C58" s="28"/>
      <c r="D58" s="28"/>
      <c r="E58" s="28"/>
      <c r="F58" s="28"/>
      <c r="G58" s="48"/>
      <c r="H58" s="48"/>
      <c r="I58" s="48"/>
      <c r="J58" s="48"/>
      <c r="K58" s="48"/>
      <c r="L58" s="28"/>
      <c r="M58" s="28"/>
      <c r="N58" s="28"/>
      <c r="O58" s="28"/>
    </row>
    <row r="59" spans="3:15" x14ac:dyDescent="0.3">
      <c r="C59" s="28"/>
      <c r="D59" s="28"/>
      <c r="E59" s="28"/>
      <c r="F59" s="28"/>
      <c r="G59" s="28"/>
      <c r="H59" s="28"/>
      <c r="I59" s="28"/>
      <c r="J59" s="28"/>
      <c r="K59" s="28"/>
      <c r="L59" s="28"/>
      <c r="M59" s="28"/>
      <c r="N59" s="28"/>
      <c r="O59" s="28"/>
    </row>
  </sheetData>
  <sheetProtection algorithmName="SHA-512" hashValue="QKTX4MtdiPWqmXwU/9+sNkghhLg0Lw9amByeE561NVjY+7d05RAOOaQM2iSu+aGNR0ehwJ0lsMz1Y8f99OiClQ==" saltValue="9n+B+mADpaQPyUQF7UoDEA==" spinCount="100000" sheet="1" objects="1" scenarios="1" selectLockedCells="1" selectUnlockedCells="1"/>
  <mergeCells count="11">
    <mergeCell ref="M19:S19"/>
    <mergeCell ref="C21:D22"/>
    <mergeCell ref="F21:G22"/>
    <mergeCell ref="E17:G18"/>
    <mergeCell ref="B17:D18"/>
    <mergeCell ref="J16:K16"/>
    <mergeCell ref="A2:Q2"/>
    <mergeCell ref="H9:I9"/>
    <mergeCell ref="H10:I10"/>
    <mergeCell ref="H11:I11"/>
    <mergeCell ref="J15:K1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B8E29-27A7-4B2C-9567-48FF082C5CA6}">
  <dimension ref="A21:A23"/>
  <sheetViews>
    <sheetView zoomScale="130" zoomScaleNormal="130" workbookViewId="0">
      <selection activeCell="J15" sqref="J15"/>
    </sheetView>
  </sheetViews>
  <sheetFormatPr defaultRowHeight="15.6" x14ac:dyDescent="0.3"/>
  <cols>
    <col min="1" max="16384" width="8.796875" style="28"/>
  </cols>
  <sheetData>
    <row r="21" ht="10.199999999999999" customHeight="1" x14ac:dyDescent="0.3"/>
    <row r="22" ht="15.6" customHeight="1" x14ac:dyDescent="0.3"/>
    <row r="23" ht="24.6" customHeight="1" x14ac:dyDescent="0.3"/>
  </sheetData>
  <sheetProtection algorithmName="SHA-512" hashValue="GVT+YGn5NdsvL7nZG57WLu76e7Bh74NVaeb5njqSOGKegK556vin0lUhtOYSBYhzLm3jLcunkO9go8vlqpuQ5A==" saltValue="HpAWgGCKhw7leB/JAyG8JA==" spinCount="100000" sheet="1" objects="1" scenario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0B515-963B-4C2A-B9D7-406032F2487A}">
  <dimension ref="A1:BK461"/>
  <sheetViews>
    <sheetView workbookViewId="0">
      <selection activeCell="AW1" sqref="A1:XFD1048576"/>
    </sheetView>
  </sheetViews>
  <sheetFormatPr defaultRowHeight="15.6" x14ac:dyDescent="0.3"/>
  <cols>
    <col min="1" max="1" width="31.69921875" style="128" customWidth="1"/>
    <col min="2" max="2" width="34.09765625" style="128" customWidth="1"/>
    <col min="3" max="3" width="39.796875" style="128" customWidth="1"/>
    <col min="4" max="4" width="29.8984375" style="128" customWidth="1"/>
    <col min="5" max="5" width="28.3984375" style="128" customWidth="1"/>
    <col min="6" max="6" width="22.5" style="128" customWidth="1"/>
    <col min="7" max="7" width="25.69921875" style="128" customWidth="1"/>
    <col min="8" max="8" width="23.3984375" style="128" customWidth="1"/>
    <col min="9" max="9" width="3.3984375" style="124" bestFit="1" customWidth="1"/>
    <col min="10" max="10" width="5.796875" style="124" customWidth="1"/>
    <col min="11" max="11" width="8.796875" style="128"/>
    <col min="12" max="12" width="22" style="128" customWidth="1"/>
    <col min="13" max="13" width="18" style="128" customWidth="1"/>
    <col min="14" max="14" width="20.296875" style="128" customWidth="1"/>
    <col min="15" max="15" width="24.19921875" style="128" customWidth="1"/>
    <col min="16" max="17" width="8.796875" style="128"/>
    <col min="18" max="18" width="12.796875" style="128" customWidth="1"/>
    <col min="19" max="19" width="24.09765625" style="128" customWidth="1"/>
    <col min="20" max="20" width="14.59765625" style="128" customWidth="1"/>
    <col min="21" max="23" width="8.796875" style="128"/>
    <col min="24" max="34" width="30.09765625" style="128" customWidth="1"/>
    <col min="35" max="35" width="25.8984375" style="128" customWidth="1"/>
    <col min="36" max="36" width="18.8984375" style="128" customWidth="1"/>
    <col min="37" max="37" width="21.19921875" style="128" customWidth="1"/>
    <col min="38" max="42" width="8.796875" style="128"/>
    <col min="43" max="43" width="22.3984375" style="128" customWidth="1"/>
    <col min="44" max="45" width="8.796875" style="128"/>
    <col min="46" max="46" width="21" style="128" customWidth="1"/>
    <col min="47" max="47" width="14.796875" style="128" customWidth="1"/>
    <col min="48" max="48" width="20.59765625" style="128" customWidth="1"/>
    <col min="49" max="49" width="8.796875" style="128"/>
    <col min="50" max="50" width="19.59765625" style="128" customWidth="1"/>
    <col min="51" max="51" width="8.796875" style="128" customWidth="1"/>
    <col min="52" max="55" width="8.796875" style="128"/>
    <col min="56" max="56" width="22.09765625" style="128" customWidth="1"/>
    <col min="57" max="59" width="8.796875" style="128"/>
    <col min="60" max="60" width="18.3984375" style="128" customWidth="1"/>
    <col min="61" max="61" width="17.59765625" style="128" customWidth="1"/>
    <col min="62" max="16384" width="8.796875" style="128"/>
  </cols>
  <sheetData>
    <row r="1" spans="1:63" x14ac:dyDescent="0.3">
      <c r="A1" s="124" t="s">
        <v>98</v>
      </c>
      <c r="B1" s="124" t="s">
        <v>99</v>
      </c>
      <c r="C1" s="124" t="s">
        <v>155</v>
      </c>
      <c r="D1" s="124"/>
      <c r="E1" s="124"/>
      <c r="F1" s="124" t="s">
        <v>562</v>
      </c>
      <c r="G1" s="124"/>
      <c r="H1" s="124"/>
      <c r="I1" s="124">
        <v>0</v>
      </c>
      <c r="K1" s="124">
        <v>1</v>
      </c>
      <c r="L1" s="124" t="s">
        <v>563</v>
      </c>
      <c r="M1" s="124" t="s">
        <v>80</v>
      </c>
      <c r="N1" s="124"/>
      <c r="O1" s="124"/>
      <c r="P1" s="124" t="s">
        <v>564</v>
      </c>
      <c r="Q1" s="124" t="s">
        <v>565</v>
      </c>
      <c r="R1" s="124"/>
      <c r="S1" s="124" t="s">
        <v>566</v>
      </c>
      <c r="T1" s="124" t="s">
        <v>567</v>
      </c>
      <c r="U1" s="124" t="s">
        <v>568</v>
      </c>
      <c r="V1" s="124" t="s">
        <v>569</v>
      </c>
      <c r="W1" s="124" t="s">
        <v>81</v>
      </c>
      <c r="X1" s="124" t="s">
        <v>570</v>
      </c>
      <c r="Y1" s="124" t="s">
        <v>571</v>
      </c>
      <c r="Z1" s="124" t="s">
        <v>82</v>
      </c>
      <c r="AA1" s="124" t="s">
        <v>129</v>
      </c>
      <c r="AB1" s="124" t="s">
        <v>83</v>
      </c>
      <c r="AC1" s="124"/>
      <c r="AD1" s="124"/>
      <c r="AE1" s="125" t="s">
        <v>84</v>
      </c>
      <c r="AF1" s="125"/>
      <c r="AG1" s="125"/>
      <c r="AH1" s="125"/>
      <c r="AI1" s="126" t="s">
        <v>59</v>
      </c>
      <c r="AJ1" s="127"/>
      <c r="AK1" s="127" t="s">
        <v>77</v>
      </c>
      <c r="AL1" s="128" t="s">
        <v>25</v>
      </c>
      <c r="AM1" s="127" t="s">
        <v>471</v>
      </c>
      <c r="AN1" s="129" t="s">
        <v>473</v>
      </c>
      <c r="AO1" s="129"/>
      <c r="AP1" s="127" t="s">
        <v>479</v>
      </c>
      <c r="AQ1" s="127" t="s">
        <v>48</v>
      </c>
      <c r="AT1" s="128" t="s">
        <v>48</v>
      </c>
      <c r="AU1" s="128" t="s">
        <v>56</v>
      </c>
      <c r="AV1" s="128" t="s">
        <v>56</v>
      </c>
      <c r="AW1" s="128" t="s">
        <v>25</v>
      </c>
      <c r="AY1" s="128" t="s">
        <v>25</v>
      </c>
      <c r="AZ1" s="128" t="s">
        <v>25</v>
      </c>
      <c r="BA1" s="128" t="s">
        <v>25</v>
      </c>
      <c r="BB1" s="128" t="s">
        <v>32</v>
      </c>
      <c r="BC1" s="128" t="s">
        <v>25</v>
      </c>
      <c r="BE1" s="128" t="s">
        <v>38</v>
      </c>
      <c r="BF1" s="128" t="s">
        <v>92</v>
      </c>
      <c r="BG1" s="128" t="s">
        <v>532</v>
      </c>
      <c r="BH1" s="128" t="s">
        <v>56</v>
      </c>
      <c r="BI1" s="128" t="s">
        <v>22</v>
      </c>
    </row>
    <row r="2" spans="1:63" x14ac:dyDescent="0.3">
      <c r="A2" s="124" t="str">
        <f>""</f>
        <v/>
      </c>
      <c r="B2" s="124" t="str">
        <f>""</f>
        <v/>
      </c>
      <c r="C2" s="124" t="s">
        <v>572</v>
      </c>
      <c r="D2" s="124" t="str">
        <f>CONCATENATE("CSE ",C2)</f>
        <v>CSE Acceleration sensor</v>
      </c>
      <c r="E2" s="124" t="str">
        <f>C2</f>
        <v>Acceleration sensor</v>
      </c>
      <c r="F2" s="124" t="s">
        <v>563</v>
      </c>
      <c r="G2" s="124" t="str">
        <f>CONCATENATE("CSE ",F2)</f>
        <v>CSE Agriculture &amp; Environment</v>
      </c>
      <c r="H2" s="124" t="str">
        <f>F2</f>
        <v>Agriculture &amp; Environment</v>
      </c>
      <c r="I2" s="124">
        <f>IF(J2="",I1,I1+1)</f>
        <v>0</v>
      </c>
      <c r="J2" s="124" t="str" cm="1">
        <f t="array" ref="J2:J21">TRANSPOSE(L27:AE27)</f>
        <v/>
      </c>
      <c r="K2" s="124">
        <v>2</v>
      </c>
      <c r="L2" s="124" t="s">
        <v>573</v>
      </c>
      <c r="M2" s="124" t="s">
        <v>100</v>
      </c>
      <c r="N2" s="124"/>
      <c r="O2" s="124"/>
      <c r="P2" s="124" t="s">
        <v>573</v>
      </c>
      <c r="Q2" s="124" t="s">
        <v>574</v>
      </c>
      <c r="R2" s="124"/>
      <c r="S2" s="124" t="s">
        <v>572</v>
      </c>
      <c r="T2" s="124" t="s">
        <v>572</v>
      </c>
      <c r="U2" s="124" t="s">
        <v>123</v>
      </c>
      <c r="V2" s="124" t="s">
        <v>574</v>
      </c>
      <c r="W2" s="124" t="s">
        <v>573</v>
      </c>
      <c r="X2" s="124" t="s">
        <v>109</v>
      </c>
      <c r="Y2" s="124" t="s">
        <v>104</v>
      </c>
      <c r="Z2" s="124" t="s">
        <v>114</v>
      </c>
      <c r="AA2" s="124" t="s">
        <v>576</v>
      </c>
      <c r="AB2" s="124" t="s">
        <v>108</v>
      </c>
      <c r="AC2" s="124"/>
      <c r="AD2" s="124"/>
      <c r="AE2" s="124" t="s">
        <v>577</v>
      </c>
      <c r="AF2" s="124"/>
      <c r="AG2" s="124"/>
      <c r="AH2" s="124"/>
      <c r="AI2" s="127" t="s">
        <v>158</v>
      </c>
      <c r="AJ2" s="127" t="s">
        <v>417</v>
      </c>
      <c r="AK2" s="127" t="s">
        <v>441</v>
      </c>
      <c r="AL2" s="128" t="s">
        <v>26</v>
      </c>
      <c r="AM2" s="127">
        <v>9.9999999999999995E-7</v>
      </c>
      <c r="AN2" s="127" t="s">
        <v>31</v>
      </c>
      <c r="AO2" s="127">
        <v>1000</v>
      </c>
      <c r="AP2" s="127" t="s">
        <v>480</v>
      </c>
      <c r="AQ2" s="127" t="s">
        <v>482</v>
      </c>
      <c r="AR2" s="127" t="s">
        <v>511</v>
      </c>
      <c r="AS2" s="127" t="s">
        <v>513</v>
      </c>
      <c r="AT2" s="128" t="s">
        <v>47</v>
      </c>
      <c r="AU2" s="128" t="s">
        <v>66</v>
      </c>
      <c r="AV2" s="128" t="s">
        <v>524</v>
      </c>
      <c r="AW2" s="128" t="s">
        <v>31</v>
      </c>
      <c r="AX2" s="128" t="s">
        <v>85</v>
      </c>
      <c r="AY2" s="128" t="s">
        <v>26</v>
      </c>
      <c r="AZ2" s="128" t="s">
        <v>31</v>
      </c>
      <c r="BA2" s="128" t="s">
        <v>92</v>
      </c>
      <c r="BB2" s="128" t="s">
        <v>33</v>
      </c>
      <c r="BC2" s="128" t="s">
        <v>36</v>
      </c>
      <c r="BD2" s="128" t="s">
        <v>559</v>
      </c>
      <c r="BE2" s="128" t="s">
        <v>39</v>
      </c>
      <c r="BF2" s="128">
        <v>2026</v>
      </c>
      <c r="BG2" s="128" t="s">
        <v>40</v>
      </c>
      <c r="BH2" s="128" t="s">
        <v>53</v>
      </c>
      <c r="BI2" s="128" t="s">
        <v>75</v>
      </c>
      <c r="BJ2" s="128" t="s">
        <v>529</v>
      </c>
      <c r="BK2" s="128" t="s">
        <v>556</v>
      </c>
    </row>
    <row r="3" spans="1:63" x14ac:dyDescent="0.3">
      <c r="A3" s="124" t="str">
        <f>IF(AND(AQ!$K$14="",AQ!$D$14=""),IF(DB!C2="","",DB!C2),IF(AQ!$D$14="",IF(DB!C2="","",DB!C2),IF(ISERROR(HLOOKUP(AQ!$D$14,$L$1:$AE$24,K2,FALSE)),"",IF(HLOOKUP(AQ!$D$14,$L$1:$AE$24,K2,FALSE)="","",HLOOKUP(AQ!$D$14,$L$1:$AE$24,K2,FALSE)))))</f>
        <v>Acceleration sensor</v>
      </c>
      <c r="B3" s="124" t="str">
        <f>IF(AND(AQ!$K$14="",AQ!$D$14=""),IF(DB!F2="","",DB!F2),IF(AQ!$K$14="",IF(DB!F2="","",DB!F2),IF(ISERROR(VLOOKUP(K1,$I$1:$J$461,2,FALSE)),"",VLOOKUP(K1,$I$1:$J$461,2,FALSE))))</f>
        <v>Agriculture &amp; Environment</v>
      </c>
      <c r="C3" s="124" t="s">
        <v>578</v>
      </c>
      <c r="D3" s="124" t="str">
        <f t="shared" ref="D3:D63" si="0">CONCATENATE("CSE ",C3)</f>
        <v>CSE Actuator</v>
      </c>
      <c r="E3" s="124" t="str">
        <f t="shared" ref="E3:E63" si="1">C3</f>
        <v>Actuator</v>
      </c>
      <c r="F3" s="124" t="s">
        <v>80</v>
      </c>
      <c r="G3" s="124" t="str">
        <f t="shared" ref="G3:G16" si="2">CONCATENATE("CSE ",F3)</f>
        <v>CSE Automotive</v>
      </c>
      <c r="H3" s="124" t="str">
        <f t="shared" ref="H3:H16" si="3">F3</f>
        <v>Automotive</v>
      </c>
      <c r="I3" s="124">
        <f t="shared" ref="I3:I66" si="4">IF(J3="",I2,I2+1)</f>
        <v>0</v>
      </c>
      <c r="J3" s="124" t="str">
        <v/>
      </c>
      <c r="K3" s="124">
        <v>3</v>
      </c>
      <c r="L3" s="124" t="s">
        <v>577</v>
      </c>
      <c r="M3" s="124" t="s">
        <v>579</v>
      </c>
      <c r="N3" s="124"/>
      <c r="O3" s="124"/>
      <c r="P3" s="124" t="s">
        <v>115</v>
      </c>
      <c r="Q3" s="124" t="s">
        <v>104</v>
      </c>
      <c r="R3" s="124"/>
      <c r="S3" s="124" t="s">
        <v>578</v>
      </c>
      <c r="T3" s="124" t="s">
        <v>581</v>
      </c>
      <c r="U3" s="124" t="s">
        <v>121</v>
      </c>
      <c r="V3" s="124" t="s">
        <v>107</v>
      </c>
      <c r="W3" s="124" t="s">
        <v>582</v>
      </c>
      <c r="X3" s="124" t="s">
        <v>583</v>
      </c>
      <c r="Y3" s="124" t="s">
        <v>584</v>
      </c>
      <c r="Z3" s="124" t="s">
        <v>584</v>
      </c>
      <c r="AA3" s="124" t="s">
        <v>585</v>
      </c>
      <c r="AB3" s="124" t="s">
        <v>115</v>
      </c>
      <c r="AC3" s="124"/>
      <c r="AD3" s="124"/>
      <c r="AE3" s="124" t="s">
        <v>581</v>
      </c>
      <c r="AF3" s="124"/>
      <c r="AG3" s="124"/>
      <c r="AH3" s="124"/>
      <c r="AI3" s="127" t="s">
        <v>159</v>
      </c>
      <c r="AJ3" s="127" t="s">
        <v>418</v>
      </c>
      <c r="AK3" s="127" t="s">
        <v>429</v>
      </c>
      <c r="AL3" s="128" t="s">
        <v>27</v>
      </c>
      <c r="AM3" s="127">
        <v>1E-3</v>
      </c>
      <c r="AN3" s="127" t="s">
        <v>30</v>
      </c>
      <c r="AO3" s="127">
        <v>1</v>
      </c>
      <c r="AP3" s="127" t="s">
        <v>481</v>
      </c>
      <c r="AQ3" s="127" t="s">
        <v>483</v>
      </c>
      <c r="AR3" s="127" t="s">
        <v>512</v>
      </c>
      <c r="AS3" s="127" t="s">
        <v>514</v>
      </c>
      <c r="AT3" s="128" t="s">
        <v>452</v>
      </c>
      <c r="AU3" s="128" t="s">
        <v>57</v>
      </c>
      <c r="AV3" s="128" t="s">
        <v>72</v>
      </c>
      <c r="AW3" s="128" t="s">
        <v>30</v>
      </c>
      <c r="AX3" s="128" t="s">
        <v>86</v>
      </c>
      <c r="AY3" s="128" t="s">
        <v>27</v>
      </c>
      <c r="AZ3" s="128" t="s">
        <v>30</v>
      </c>
      <c r="BA3" s="128" t="s">
        <v>91</v>
      </c>
      <c r="BB3" s="128" t="s">
        <v>34</v>
      </c>
      <c r="BC3" s="128" t="s">
        <v>37</v>
      </c>
      <c r="BD3" s="128" t="s">
        <v>93</v>
      </c>
      <c r="BE3" s="128" t="s">
        <v>522</v>
      </c>
      <c r="BF3" s="128">
        <v>2027</v>
      </c>
      <c r="BG3" s="128" t="s">
        <v>41</v>
      </c>
      <c r="BH3" s="128" t="s">
        <v>54</v>
      </c>
      <c r="BI3" s="128" t="s">
        <v>20</v>
      </c>
      <c r="BJ3" s="128" t="s">
        <v>530</v>
      </c>
      <c r="BK3" s="128" t="s">
        <v>557</v>
      </c>
    </row>
    <row r="4" spans="1:63" x14ac:dyDescent="0.3">
      <c r="A4" s="124" t="str">
        <f>IF(AND(AQ!$K$14="",AQ!$D$14=""),IF(DB!C3="","",DB!C3),IF(AQ!$D$14="",IF(DB!C3="","",DB!C3),IF(ISERROR(HLOOKUP(AQ!$D$14,$L$1:$AE$24,K3,FALSE)),"",IF(HLOOKUP(AQ!$D$14,$L$1:$AE$24,K3,FALSE)="","",HLOOKUP(AQ!$D$14,$L$1:$AE$24,K3,FALSE)))))</f>
        <v>Actuator</v>
      </c>
      <c r="B4" s="124" t="str">
        <f>IF(AND(AQ!$K$14="",AQ!$D$14=""),IF(DB!F3="","",DB!F3),IF(AQ!$K$14="",IF(DB!F3="","",DB!F3),IF(ISERROR(VLOOKUP(K2,$I$1:$J$461,2,FALSE)),"",VLOOKUP(K2,$I$1:$J$461,2,FALSE))))</f>
        <v>Automotive</v>
      </c>
      <c r="C4" s="124" t="s">
        <v>573</v>
      </c>
      <c r="D4" s="124" t="str">
        <f t="shared" si="0"/>
        <v>CSE Air quality monitoring</v>
      </c>
      <c r="E4" s="124" t="str">
        <f t="shared" si="1"/>
        <v>Air quality monitoring</v>
      </c>
      <c r="F4" s="124" t="s">
        <v>564</v>
      </c>
      <c r="G4" s="124" t="str">
        <f t="shared" si="2"/>
        <v>CSE Connected Cities</v>
      </c>
      <c r="H4" s="124" t="str">
        <f t="shared" si="3"/>
        <v>Connected Cities</v>
      </c>
      <c r="I4" s="124">
        <f t="shared" si="4"/>
        <v>0</v>
      </c>
      <c r="J4" s="124" t="str">
        <v/>
      </c>
      <c r="K4" s="124">
        <v>4</v>
      </c>
      <c r="L4" s="124" t="s">
        <v>587</v>
      </c>
      <c r="M4" s="124" t="s">
        <v>121</v>
      </c>
      <c r="N4" s="124"/>
      <c r="O4" s="124"/>
      <c r="P4" s="124" t="s">
        <v>124</v>
      </c>
      <c r="Q4" s="124" t="s">
        <v>113</v>
      </c>
      <c r="R4" s="124"/>
      <c r="S4" s="124" t="s">
        <v>573</v>
      </c>
      <c r="T4" s="124" t="s">
        <v>583</v>
      </c>
      <c r="U4" s="124" t="s">
        <v>588</v>
      </c>
      <c r="V4" s="124" t="s">
        <v>580</v>
      </c>
      <c r="W4" s="124" t="s">
        <v>103</v>
      </c>
      <c r="X4" s="124" t="s">
        <v>116</v>
      </c>
      <c r="Y4" s="124" t="s">
        <v>117</v>
      </c>
      <c r="Z4" s="124" t="s">
        <v>135</v>
      </c>
      <c r="AA4" s="124"/>
      <c r="AB4" s="124" t="s">
        <v>124</v>
      </c>
      <c r="AC4" s="124"/>
      <c r="AD4" s="124"/>
      <c r="AE4" s="124" t="s">
        <v>121</v>
      </c>
      <c r="AF4" s="124" t="s">
        <v>611</v>
      </c>
      <c r="AG4" s="124" t="s">
        <v>155</v>
      </c>
      <c r="AH4" s="124" t="s">
        <v>612</v>
      </c>
      <c r="AI4" s="127" t="s">
        <v>160</v>
      </c>
      <c r="AJ4" s="127" t="s">
        <v>419</v>
      </c>
      <c r="AK4" s="127" t="s">
        <v>424</v>
      </c>
      <c r="AL4" s="128" t="s">
        <v>28</v>
      </c>
      <c r="AM4" s="127">
        <v>1</v>
      </c>
      <c r="AN4" s="127" t="s">
        <v>8</v>
      </c>
      <c r="AO4" s="127">
        <v>1E-3</v>
      </c>
      <c r="AQ4" s="127" t="s">
        <v>95</v>
      </c>
      <c r="AR4" s="128" t="s">
        <v>49</v>
      </c>
      <c r="AS4" s="127" t="s">
        <v>515</v>
      </c>
      <c r="AW4" s="128" t="s">
        <v>8</v>
      </c>
      <c r="AY4" s="128" t="s">
        <v>28</v>
      </c>
      <c r="AZ4" s="128" t="s">
        <v>8</v>
      </c>
      <c r="BA4" s="128" t="s">
        <v>88</v>
      </c>
      <c r="BB4" s="128" t="s">
        <v>35</v>
      </c>
      <c r="BC4" s="128" t="s">
        <v>519</v>
      </c>
      <c r="BD4" s="128" t="s">
        <v>94</v>
      </c>
      <c r="BF4" s="128">
        <v>2028</v>
      </c>
      <c r="BG4" s="128" t="s">
        <v>42</v>
      </c>
      <c r="BH4" s="128" t="s">
        <v>65</v>
      </c>
      <c r="BI4" s="128" t="s">
        <v>44</v>
      </c>
    </row>
    <row r="5" spans="1:63" x14ac:dyDescent="0.3">
      <c r="A5" s="124" t="str">
        <f>IF(AND(AQ!$K$14="",AQ!$D$14=""),IF(DB!C4="","",DB!C4),IF(AQ!$D$14="",IF(DB!C4="","",DB!C4),IF(ISERROR(HLOOKUP(AQ!$D$14,$L$1:$AE$24,K4,FALSE)),"",IF(HLOOKUP(AQ!$D$14,$L$1:$AE$24,K4,FALSE)="","",HLOOKUP(AQ!$D$14,$L$1:$AE$24,K4,FALSE)))))</f>
        <v>Air quality monitoring</v>
      </c>
      <c r="B5" s="124" t="str">
        <f>IF(AND(AQ!$K$14="",AQ!$D$14=""),IF(DB!F4="","",DB!F4),IF(AQ!$K$14="",IF(DB!F4="","",DB!F4),IF(ISERROR(VLOOKUP(K3,$I$1:$J$461,2,FALSE)),"",VLOOKUP(K3,$I$1:$J$461,2,FALSE))))</f>
        <v>Connected Cities</v>
      </c>
      <c r="C5" s="124" t="s">
        <v>108</v>
      </c>
      <c r="D5" s="124" t="str">
        <f t="shared" si="0"/>
        <v>CSE Alarms</v>
      </c>
      <c r="E5" s="124" t="str">
        <f t="shared" si="1"/>
        <v>Alarms</v>
      </c>
      <c r="F5" s="124" t="s">
        <v>565</v>
      </c>
      <c r="G5" s="124" t="str">
        <f t="shared" si="2"/>
        <v>CSE Defense</v>
      </c>
      <c r="H5" s="124" t="str">
        <f t="shared" si="3"/>
        <v>Defense</v>
      </c>
      <c r="I5" s="124">
        <f t="shared" si="4"/>
        <v>0</v>
      </c>
      <c r="J5" s="124" t="str">
        <v/>
      </c>
      <c r="K5" s="124">
        <v>5</v>
      </c>
      <c r="L5" s="124" t="s">
        <v>126</v>
      </c>
      <c r="M5" s="124" t="s">
        <v>118</v>
      </c>
      <c r="N5" s="124"/>
      <c r="O5" s="124"/>
      <c r="P5" s="124" t="s">
        <v>116</v>
      </c>
      <c r="Q5" s="124" t="s">
        <v>584</v>
      </c>
      <c r="R5" s="124"/>
      <c r="S5" s="124" t="s">
        <v>108</v>
      </c>
      <c r="T5" s="124" t="s">
        <v>116</v>
      </c>
      <c r="U5" s="124" t="s">
        <v>118</v>
      </c>
      <c r="V5" s="124" t="s">
        <v>589</v>
      </c>
      <c r="W5" s="124" t="s">
        <v>112</v>
      </c>
      <c r="X5" s="124" t="s">
        <v>586</v>
      </c>
      <c r="Y5" s="124" t="s">
        <v>134</v>
      </c>
      <c r="Z5" s="124" t="s">
        <v>590</v>
      </c>
      <c r="AA5" s="124"/>
      <c r="AB5" s="124" t="s">
        <v>131</v>
      </c>
      <c r="AC5" s="124"/>
      <c r="AD5" s="124"/>
      <c r="AE5" s="124" t="s">
        <v>591</v>
      </c>
      <c r="AF5" s="124" t="s">
        <v>613</v>
      </c>
      <c r="AG5" s="124" t="s">
        <v>614</v>
      </c>
      <c r="AH5" s="124" t="s">
        <v>734</v>
      </c>
      <c r="AI5" s="127" t="s">
        <v>161</v>
      </c>
      <c r="AJ5" s="127" t="s">
        <v>420</v>
      </c>
      <c r="AK5" s="127" t="s">
        <v>425</v>
      </c>
      <c r="AL5" s="128" t="s">
        <v>29</v>
      </c>
      <c r="AM5" s="127">
        <v>60</v>
      </c>
      <c r="AN5" s="129" t="s">
        <v>472</v>
      </c>
      <c r="AO5" s="129"/>
      <c r="AS5" s="127" t="s">
        <v>516</v>
      </c>
      <c r="AW5" s="128" t="s">
        <v>68</v>
      </c>
      <c r="AY5" s="128" t="s">
        <v>29</v>
      </c>
      <c r="BA5" s="128" t="s">
        <v>29</v>
      </c>
      <c r="BC5" s="128" t="s">
        <v>520</v>
      </c>
      <c r="BD5" s="128" t="s">
        <v>95</v>
      </c>
      <c r="BF5" s="128">
        <v>2029</v>
      </c>
      <c r="BG5" s="128" t="s">
        <v>43</v>
      </c>
      <c r="BH5" s="128" t="s">
        <v>55</v>
      </c>
      <c r="BI5" s="128" t="s">
        <v>49</v>
      </c>
    </row>
    <row r="6" spans="1:63" x14ac:dyDescent="0.3">
      <c r="A6" s="124" t="str">
        <f>IF(AND(AQ!$K$14="",AQ!$D$14=""),IF(DB!C5="","",DB!C5),IF(AQ!$D$14="",IF(DB!C5="","",DB!C5),IF(ISERROR(HLOOKUP(AQ!$D$14,$L$1:$AE$24,K5,FALSE)),"",IF(HLOOKUP(AQ!$D$14,$L$1:$AE$24,K5,FALSE)="","",HLOOKUP(AQ!$D$14,$L$1:$AE$24,K5,FALSE)))))</f>
        <v>Alarms</v>
      </c>
      <c r="B6" s="124" t="str">
        <f>IF(AND(AQ!$K$14="",AQ!$D$14=""),IF(DB!F5="","",DB!F5),IF(AQ!$K$14="",IF(DB!F5="","",DB!F5),IF(ISERROR(VLOOKUP(K4,$I$1:$J$461,2,FALSE)),"",VLOOKUP(K4,$I$1:$J$461,2,FALSE))))</f>
        <v>Defense</v>
      </c>
      <c r="C6" s="124" t="s">
        <v>577</v>
      </c>
      <c r="D6" s="124" t="str">
        <f t="shared" si="0"/>
        <v>CSE Animal tracking</v>
      </c>
      <c r="E6" s="124" t="str">
        <f t="shared" si="1"/>
        <v>Animal tracking</v>
      </c>
      <c r="F6" s="124" t="s">
        <v>566</v>
      </c>
      <c r="G6" s="124" t="str">
        <f t="shared" si="2"/>
        <v>CSE Industrial infrastructure</v>
      </c>
      <c r="H6" s="124" t="str">
        <f t="shared" si="3"/>
        <v>Industrial infrastructure</v>
      </c>
      <c r="I6" s="124">
        <f t="shared" si="4"/>
        <v>0</v>
      </c>
      <c r="J6" s="124" t="str">
        <v/>
      </c>
      <c r="K6" s="124">
        <v>6</v>
      </c>
      <c r="L6" s="124" t="s">
        <v>101</v>
      </c>
      <c r="M6" s="124"/>
      <c r="N6" s="124"/>
      <c r="O6" s="124"/>
      <c r="P6" s="124" t="s">
        <v>102</v>
      </c>
      <c r="Q6" s="124" t="s">
        <v>121</v>
      </c>
      <c r="R6" s="124"/>
      <c r="S6" s="124" t="s">
        <v>116</v>
      </c>
      <c r="T6" s="124" t="s">
        <v>586</v>
      </c>
      <c r="U6" s="124" t="s">
        <v>122</v>
      </c>
      <c r="V6" s="124" t="s">
        <v>110</v>
      </c>
      <c r="W6" s="124" t="s">
        <v>584</v>
      </c>
      <c r="X6" s="124" t="s">
        <v>592</v>
      </c>
      <c r="Y6" s="124" t="s">
        <v>105</v>
      </c>
      <c r="Z6" s="124" t="s">
        <v>144</v>
      </c>
      <c r="AA6" s="124"/>
      <c r="AB6" s="124" t="s">
        <v>130</v>
      </c>
      <c r="AC6" s="124"/>
      <c r="AD6" s="124"/>
      <c r="AE6" s="124" t="s">
        <v>126</v>
      </c>
      <c r="AF6" s="124" t="s">
        <v>613</v>
      </c>
      <c r="AG6" s="124" t="s">
        <v>615</v>
      </c>
      <c r="AH6" s="124" t="s">
        <v>734</v>
      </c>
      <c r="AI6" s="127" t="s">
        <v>162</v>
      </c>
      <c r="AK6" s="127" t="s">
        <v>426</v>
      </c>
      <c r="AL6" s="128" t="s">
        <v>88</v>
      </c>
      <c r="AM6" s="127">
        <v>3600</v>
      </c>
      <c r="AN6" s="127" t="s">
        <v>68</v>
      </c>
      <c r="AO6" s="127">
        <v>1000</v>
      </c>
      <c r="AS6" s="127" t="s">
        <v>517</v>
      </c>
      <c r="AW6" s="128" t="s">
        <v>69</v>
      </c>
      <c r="AY6" s="128" t="s">
        <v>88</v>
      </c>
      <c r="BC6" s="128" t="s">
        <v>521</v>
      </c>
      <c r="BF6" s="128">
        <v>2030</v>
      </c>
    </row>
    <row r="7" spans="1:63" x14ac:dyDescent="0.3">
      <c r="A7" s="124" t="str">
        <f>IF(AND(AQ!$K$14="",AQ!$D$14=""),IF(DB!C6="","",DB!C6),IF(AQ!$D$14="",IF(DB!C6="","",DB!C6),IF(ISERROR(HLOOKUP(AQ!$D$14,$L$1:$AE$24,K6,FALSE)),"",IF(HLOOKUP(AQ!$D$14,$L$1:$AE$24,K6,FALSE)="","",HLOOKUP(AQ!$D$14,$L$1:$AE$24,K6,FALSE)))))</f>
        <v>Animal tracking</v>
      </c>
      <c r="B7" s="124" t="str">
        <f>IF(AND(AQ!$K$14="",AQ!$D$14=""),IF(DB!F6="","",DB!F6),IF(AQ!$K$14="",IF(DB!F6="","",DB!F6),IF(ISERROR(VLOOKUP(K5,$I$1:$J$461,2,FALSE)),"",VLOOKUP(K5,$I$1:$J$461,2,FALSE))))</f>
        <v>Industrial infrastructure</v>
      </c>
      <c r="C7" s="124" t="s">
        <v>581</v>
      </c>
      <c r="D7" s="124" t="str">
        <f t="shared" si="0"/>
        <v>CSE Asset tracking</v>
      </c>
      <c r="E7" s="124" t="str">
        <f t="shared" si="1"/>
        <v>Asset tracking</v>
      </c>
      <c r="F7" s="124" t="s">
        <v>567</v>
      </c>
      <c r="G7" s="124" t="str">
        <f t="shared" si="2"/>
        <v>CSE Industrial IoT</v>
      </c>
      <c r="H7" s="124" t="str">
        <f t="shared" si="3"/>
        <v>Industrial IoT</v>
      </c>
      <c r="I7" s="124">
        <f t="shared" si="4"/>
        <v>0</v>
      </c>
      <c r="J7" s="124" t="str">
        <v/>
      </c>
      <c r="K7" s="124">
        <v>7</v>
      </c>
      <c r="L7" s="124" t="s">
        <v>593</v>
      </c>
      <c r="M7" s="124"/>
      <c r="N7" s="124"/>
      <c r="O7" s="124"/>
      <c r="P7" s="124" t="s">
        <v>126</v>
      </c>
      <c r="Q7" s="124" t="s">
        <v>128</v>
      </c>
      <c r="R7" s="124"/>
      <c r="S7" s="124" t="s">
        <v>586</v>
      </c>
      <c r="T7" s="124" t="s">
        <v>587</v>
      </c>
      <c r="U7" s="124" t="s">
        <v>594</v>
      </c>
      <c r="V7" s="124" t="s">
        <v>145</v>
      </c>
      <c r="W7" s="124" t="s">
        <v>120</v>
      </c>
      <c r="X7" s="124" t="s">
        <v>125</v>
      </c>
      <c r="Y7" s="124" t="s">
        <v>588</v>
      </c>
      <c r="Z7" s="124" t="s">
        <v>595</v>
      </c>
      <c r="AA7" s="124"/>
      <c r="AB7" s="124" t="s">
        <v>152</v>
      </c>
      <c r="AC7" s="124"/>
      <c r="AD7" s="124"/>
      <c r="AE7" s="124" t="s">
        <v>138</v>
      </c>
      <c r="AF7" s="124" t="s">
        <v>613</v>
      </c>
      <c r="AG7" s="124" t="s">
        <v>616</v>
      </c>
      <c r="AH7" s="124" t="s">
        <v>734</v>
      </c>
      <c r="AI7" s="127" t="s">
        <v>163</v>
      </c>
      <c r="AK7" s="127" t="s">
        <v>442</v>
      </c>
      <c r="AL7" s="128" t="s">
        <v>89</v>
      </c>
      <c r="AM7" s="127">
        <v>86400</v>
      </c>
      <c r="AN7" s="127" t="s">
        <v>69</v>
      </c>
      <c r="AO7" s="127">
        <v>1</v>
      </c>
      <c r="AS7" s="127" t="s">
        <v>518</v>
      </c>
      <c r="AW7" s="128" t="s">
        <v>70</v>
      </c>
      <c r="AY7" s="128" t="s">
        <v>89</v>
      </c>
      <c r="BF7" s="128">
        <v>2031</v>
      </c>
    </row>
    <row r="8" spans="1:63" x14ac:dyDescent="0.3">
      <c r="A8" s="124" t="str">
        <f>IF(AND(AQ!$K$14="",AQ!$D$14=""),IF(DB!C7="","",DB!C7),IF(AQ!$D$14="",IF(DB!C7="","",DB!C7),IF(ISERROR(HLOOKUP(AQ!$D$14,$L$1:$AE$24,K7,FALSE)),"",IF(HLOOKUP(AQ!$D$14,$L$1:$AE$24,K7,FALSE)="","",HLOOKUP(AQ!$D$14,$L$1:$AE$24,K7,FALSE)))))</f>
        <v>Asset tracking</v>
      </c>
      <c r="B8" s="124" t="str">
        <f>IF(AND(AQ!$K$14="",AQ!$D$14=""),IF(DB!F7="","",DB!F7),IF(AQ!$K$14="",IF(DB!F7="","",DB!F7),IF(ISERROR(VLOOKUP(K6,$I$1:$J$461,2,FALSE)),"",VLOOKUP(K6,$I$1:$J$461,2,FALSE))))</f>
        <v>Industrial IoT</v>
      </c>
      <c r="C8" s="124" t="s">
        <v>582</v>
      </c>
      <c r="D8" s="124" t="str">
        <f t="shared" si="0"/>
        <v>CSE Autoclave System</v>
      </c>
      <c r="E8" s="124" t="str">
        <f t="shared" si="1"/>
        <v>Autoclave System</v>
      </c>
      <c r="F8" s="124" t="s">
        <v>568</v>
      </c>
      <c r="G8" s="124" t="str">
        <f t="shared" si="2"/>
        <v>CSE Industrial vehicles</v>
      </c>
      <c r="H8" s="124" t="str">
        <f t="shared" si="3"/>
        <v>Industrial vehicles</v>
      </c>
      <c r="I8" s="124">
        <f t="shared" si="4"/>
        <v>0</v>
      </c>
      <c r="J8" s="124" t="str">
        <v/>
      </c>
      <c r="K8" s="124">
        <v>8</v>
      </c>
      <c r="L8" s="124" t="s">
        <v>595</v>
      </c>
      <c r="M8" s="124"/>
      <c r="N8" s="124"/>
      <c r="O8" s="124"/>
      <c r="P8" s="124" t="s">
        <v>596</v>
      </c>
      <c r="Q8" s="124" t="s">
        <v>142</v>
      </c>
      <c r="R8" s="124"/>
      <c r="S8" s="124" t="s">
        <v>102</v>
      </c>
      <c r="T8" s="124" t="s">
        <v>117</v>
      </c>
      <c r="U8" s="124"/>
      <c r="V8" s="124" t="s">
        <v>595</v>
      </c>
      <c r="W8" s="124" t="s">
        <v>127</v>
      </c>
      <c r="X8" s="124" t="s">
        <v>132</v>
      </c>
      <c r="Y8" s="124" t="s">
        <v>148</v>
      </c>
      <c r="Z8" s="124" t="s">
        <v>140</v>
      </c>
      <c r="AA8" s="124"/>
      <c r="AB8" s="124" t="s">
        <v>137</v>
      </c>
      <c r="AC8" s="124"/>
      <c r="AD8" s="124"/>
      <c r="AE8" s="124" t="s">
        <v>140</v>
      </c>
      <c r="AF8" s="124" t="s">
        <v>613</v>
      </c>
      <c r="AG8" s="124" t="s">
        <v>617</v>
      </c>
      <c r="AH8" s="124" t="s">
        <v>734</v>
      </c>
      <c r="AI8" s="127" t="s">
        <v>164</v>
      </c>
      <c r="AK8" s="127" t="s">
        <v>427</v>
      </c>
      <c r="AL8" s="128" t="s">
        <v>90</v>
      </c>
      <c r="AM8" s="127">
        <v>604800</v>
      </c>
      <c r="AN8" s="127" t="s">
        <v>70</v>
      </c>
      <c r="AO8" s="127">
        <v>1E-3</v>
      </c>
      <c r="AY8" s="128" t="s">
        <v>90</v>
      </c>
      <c r="BF8" s="128">
        <v>2032</v>
      </c>
    </row>
    <row r="9" spans="1:63" x14ac:dyDescent="0.3">
      <c r="A9" s="124" t="str">
        <f>IF(AND(AQ!$K$14="",AQ!$D$14=""),IF(DB!C8="","",DB!C8),IF(AQ!$D$14="",IF(DB!C8="","",DB!C8),IF(ISERROR(HLOOKUP(AQ!$D$14,$L$1:$AE$24,K8,FALSE)),"",IF(HLOOKUP(AQ!$D$14,$L$1:$AE$24,K8,FALSE)="","",HLOOKUP(AQ!$D$14,$L$1:$AE$24,K8,FALSE)))))</f>
        <v>Autoclave System</v>
      </c>
      <c r="B9" s="124" t="str">
        <f>IF(AND(AQ!$K$14="",AQ!$D$14=""),IF(DB!F8="","",DB!F8),IF(AQ!$K$14="",IF(DB!F8="","",DB!F8),IF(ISERROR(VLOOKUP(K7,$I$1:$J$461,2,FALSE)),"",VLOOKUP(K7,$I$1:$J$461,2,FALSE))))</f>
        <v>Industrial vehicles</v>
      </c>
      <c r="C9" s="124" t="s">
        <v>103</v>
      </c>
      <c r="D9" s="124" t="str">
        <f t="shared" si="0"/>
        <v>CSE Automated External Defibrillators</v>
      </c>
      <c r="E9" s="124" t="str">
        <f t="shared" si="1"/>
        <v>Automated External Defibrillators</v>
      </c>
      <c r="F9" s="124" t="s">
        <v>569</v>
      </c>
      <c r="G9" s="124" t="str">
        <f t="shared" si="2"/>
        <v>CSE Marine</v>
      </c>
      <c r="H9" s="124" t="str">
        <f t="shared" si="3"/>
        <v>Marine</v>
      </c>
      <c r="I9" s="124">
        <f t="shared" si="4"/>
        <v>0</v>
      </c>
      <c r="J9" s="124" t="str">
        <v/>
      </c>
      <c r="K9" s="124">
        <v>9</v>
      </c>
      <c r="L9" s="124" t="s">
        <v>597</v>
      </c>
      <c r="M9" s="124"/>
      <c r="N9" s="124"/>
      <c r="O9" s="124"/>
      <c r="P9" s="124" t="s">
        <v>106</v>
      </c>
      <c r="Q9" s="124" t="s">
        <v>598</v>
      </c>
      <c r="R9" s="124"/>
      <c r="S9" s="124" t="s">
        <v>584</v>
      </c>
      <c r="T9" s="124" t="s">
        <v>591</v>
      </c>
      <c r="U9" s="124"/>
      <c r="V9" s="124" t="s">
        <v>151</v>
      </c>
      <c r="W9" s="124" t="s">
        <v>593</v>
      </c>
      <c r="X9" s="124" t="s">
        <v>139</v>
      </c>
      <c r="Y9" s="124" t="s">
        <v>122</v>
      </c>
      <c r="Z9" s="124" t="s">
        <v>147</v>
      </c>
      <c r="AA9" s="124"/>
      <c r="AB9" s="124" t="s">
        <v>599</v>
      </c>
      <c r="AC9" s="124"/>
      <c r="AD9" s="124"/>
      <c r="AE9" s="124" t="s">
        <v>600</v>
      </c>
      <c r="AF9" s="124" t="s">
        <v>613</v>
      </c>
      <c r="AG9" s="124" t="s">
        <v>618</v>
      </c>
      <c r="AH9" s="124" t="s">
        <v>734</v>
      </c>
      <c r="AI9" s="127" t="s">
        <v>165</v>
      </c>
      <c r="AK9" s="127" t="s">
        <v>428</v>
      </c>
      <c r="AL9" s="128" t="s">
        <v>91</v>
      </c>
      <c r="AM9" s="127">
        <v>2628000</v>
      </c>
      <c r="AY9" s="128" t="s">
        <v>91</v>
      </c>
      <c r="BF9" s="128">
        <v>2033</v>
      </c>
    </row>
    <row r="10" spans="1:63" x14ac:dyDescent="0.3">
      <c r="A10" s="124" t="str">
        <f>IF(AND(AQ!$K$14="",AQ!$D$14=""),IF(DB!C9="","",DB!C9),IF(AQ!$D$14="",IF(DB!C9="","",DB!C9),IF(ISERROR(HLOOKUP(AQ!$D$14,$L$1:$AE$24,K9,FALSE)),"",IF(HLOOKUP(AQ!$D$14,$L$1:$AE$24,K9,FALSE)="","",HLOOKUP(AQ!$D$14,$L$1:$AE$24,K9,FALSE)))))</f>
        <v>Automated External Defibrillators</v>
      </c>
      <c r="B10" s="124" t="str">
        <f>IF(AND(AQ!$K$14="",AQ!$D$14=""),IF(DB!F9="","",DB!F9),IF(AQ!$K$14="",IF(DB!F9="","",DB!F9),IF(ISERROR(VLOOKUP(K8,$I$1:$J$461,2,FALSE)),"",VLOOKUP(K8,$I$1:$J$461,2,FALSE))))</f>
        <v>Marine</v>
      </c>
      <c r="C10" s="124" t="s">
        <v>574</v>
      </c>
      <c r="D10" s="124" t="str">
        <f t="shared" si="0"/>
        <v>CSE Automated Underwater vehicle (AUV)</v>
      </c>
      <c r="E10" s="124" t="str">
        <f t="shared" si="1"/>
        <v>Automated Underwater vehicle (AUV)</v>
      </c>
      <c r="F10" s="124" t="s">
        <v>81</v>
      </c>
      <c r="G10" s="124" t="str">
        <f t="shared" si="2"/>
        <v>CSE Medical</v>
      </c>
      <c r="H10" s="124" t="str">
        <f t="shared" si="3"/>
        <v>Medical</v>
      </c>
      <c r="I10" s="124">
        <f t="shared" si="4"/>
        <v>0</v>
      </c>
      <c r="J10" s="124" t="str">
        <v/>
      </c>
      <c r="K10" s="124">
        <v>10</v>
      </c>
      <c r="L10" s="124" t="s">
        <v>599</v>
      </c>
      <c r="M10" s="124"/>
      <c r="N10" s="124"/>
      <c r="O10" s="124"/>
      <c r="P10" s="124" t="s">
        <v>119</v>
      </c>
      <c r="Q10" s="124" t="s">
        <v>150</v>
      </c>
      <c r="R10" s="124"/>
      <c r="S10" s="124" t="s">
        <v>587</v>
      </c>
      <c r="T10" s="124" t="s">
        <v>126</v>
      </c>
      <c r="U10" s="124"/>
      <c r="V10" s="124"/>
      <c r="W10" s="124" t="s">
        <v>141</v>
      </c>
      <c r="X10" s="124" t="s">
        <v>601</v>
      </c>
      <c r="Y10" s="124"/>
      <c r="Z10" s="124"/>
      <c r="AA10" s="124"/>
      <c r="AB10" s="124" t="s">
        <v>133</v>
      </c>
      <c r="AC10" s="124"/>
      <c r="AD10" s="124"/>
      <c r="AE10" s="124"/>
      <c r="AF10" s="124" t="s">
        <v>613</v>
      </c>
      <c r="AG10" s="124" t="s">
        <v>619</v>
      </c>
      <c r="AH10" s="124" t="s">
        <v>734</v>
      </c>
      <c r="AI10" s="127" t="s">
        <v>166</v>
      </c>
      <c r="AK10" s="127" t="s">
        <v>430</v>
      </c>
      <c r="AL10" s="128" t="s">
        <v>92</v>
      </c>
      <c r="AM10" s="127">
        <v>31536000</v>
      </c>
      <c r="AY10" s="128" t="s">
        <v>92</v>
      </c>
      <c r="BF10" s="128">
        <v>2034</v>
      </c>
    </row>
    <row r="11" spans="1:63" x14ac:dyDescent="0.3">
      <c r="A11" s="124" t="str">
        <f>IF(AND(AQ!$K$14="",AQ!$D$14=""),IF(DB!C10="","",DB!C10),IF(AQ!$D$14="",IF(DB!C10="","",DB!C10),IF(ISERROR(HLOOKUP(AQ!$D$14,$L$1:$AE$24,K10,FALSE)),"",IF(HLOOKUP(AQ!$D$14,$L$1:$AE$24,K10,FALSE)="","",HLOOKUP(AQ!$D$14,$L$1:$AE$24,K10,FALSE)))))</f>
        <v>Automated Underwater vehicle (AUV)</v>
      </c>
      <c r="B11" s="124" t="str">
        <f>IF(AND(AQ!$K$14="",AQ!$D$14=""),IF(DB!F10="","",DB!F10),IF(AQ!$K$14="",IF(DB!F10="","",DB!F10),IF(ISERROR(VLOOKUP(K9,$I$1:$J$461,2,FALSE)),"",VLOOKUP(K9,$I$1:$J$461,2,FALSE))))</f>
        <v>Medical</v>
      </c>
      <c r="C11" s="124" t="s">
        <v>107</v>
      </c>
      <c r="D11" s="124" t="str">
        <f t="shared" si="0"/>
        <v>CSE Buoys</v>
      </c>
      <c r="E11" s="124" t="str">
        <f t="shared" si="1"/>
        <v>Buoys</v>
      </c>
      <c r="F11" s="124" t="s">
        <v>570</v>
      </c>
      <c r="G11" s="124" t="str">
        <f t="shared" si="2"/>
        <v>CSE Metering</v>
      </c>
      <c r="H11" s="124" t="str">
        <f t="shared" si="3"/>
        <v>Metering</v>
      </c>
      <c r="I11" s="124">
        <f t="shared" si="4"/>
        <v>0</v>
      </c>
      <c r="J11" s="124" t="str">
        <v/>
      </c>
      <c r="K11" s="124">
        <v>11</v>
      </c>
      <c r="L11" s="124" t="s">
        <v>602</v>
      </c>
      <c r="M11" s="124"/>
      <c r="N11" s="124"/>
      <c r="O11" s="124"/>
      <c r="P11" s="124" t="s">
        <v>603</v>
      </c>
      <c r="Q11" s="124" t="s">
        <v>136</v>
      </c>
      <c r="R11" s="124"/>
      <c r="S11" s="124" t="s">
        <v>575</v>
      </c>
      <c r="T11" s="124" t="s">
        <v>604</v>
      </c>
      <c r="U11" s="124"/>
      <c r="V11" s="124"/>
      <c r="W11" s="124" t="s">
        <v>588</v>
      </c>
      <c r="X11" s="124" t="s">
        <v>126</v>
      </c>
      <c r="Y11" s="124"/>
      <c r="Z11" s="124"/>
      <c r="AA11" s="124"/>
      <c r="AB11" s="124"/>
      <c r="AC11" s="124"/>
      <c r="AD11" s="124"/>
      <c r="AE11" s="124"/>
      <c r="AF11" s="124" t="s">
        <v>613</v>
      </c>
      <c r="AG11" s="124" t="s">
        <v>620</v>
      </c>
      <c r="AH11" s="124" t="s">
        <v>734</v>
      </c>
      <c r="AI11" s="127" t="s">
        <v>167</v>
      </c>
      <c r="AK11" s="127" t="s">
        <v>431</v>
      </c>
      <c r="BF11" s="128">
        <v>2035</v>
      </c>
    </row>
    <row r="12" spans="1:63" x14ac:dyDescent="0.3">
      <c r="A12" s="124" t="str">
        <f>IF(AND(AQ!$K$14="",AQ!$D$14=""),IF(DB!C11="","",DB!C11),IF(AQ!$D$14="",IF(DB!C11="","",DB!C11),IF(ISERROR(HLOOKUP(AQ!$D$14,$L$1:$AE$24,K11,FALSE)),"",IF(HLOOKUP(AQ!$D$14,$L$1:$AE$24,K11,FALSE)="","",HLOOKUP(AQ!$D$14,$L$1:$AE$24,K11,FALSE)))))</f>
        <v>Buoys</v>
      </c>
      <c r="B12" s="124" t="str">
        <f>IF(AND(AQ!$K$14="",AQ!$D$14=""),IF(DB!F11="","",DB!F11),IF(AQ!$K$14="",IF(DB!F11="","",DB!F11),IF(ISERROR(VLOOKUP(K10,$I$1:$J$461,2,FALSE)),"",VLOOKUP(K10,$I$1:$J$461,2,FALSE))))</f>
        <v>Metering</v>
      </c>
      <c r="C12" s="124" t="s">
        <v>115</v>
      </c>
      <c r="D12" s="124" t="str">
        <f t="shared" si="0"/>
        <v>CSE Cash Protection Systems</v>
      </c>
      <c r="E12" s="124" t="str">
        <f t="shared" si="1"/>
        <v>Cash Protection Systems</v>
      </c>
      <c r="F12" s="124" t="s">
        <v>571</v>
      </c>
      <c r="G12" s="124" t="str">
        <f t="shared" si="2"/>
        <v>CSE Mining, Cement &amp; Chemical</v>
      </c>
      <c r="H12" s="124" t="str">
        <f t="shared" si="3"/>
        <v>Mining, Cement &amp; Chemical</v>
      </c>
      <c r="I12" s="124">
        <f t="shared" si="4"/>
        <v>0</v>
      </c>
      <c r="J12" s="124" t="str">
        <v/>
      </c>
      <c r="K12" s="124">
        <v>12</v>
      </c>
      <c r="L12" s="124" t="s">
        <v>605</v>
      </c>
      <c r="M12" s="124"/>
      <c r="N12" s="124"/>
      <c r="O12" s="124"/>
      <c r="P12" s="124" t="s">
        <v>593</v>
      </c>
      <c r="Q12" s="124" t="s">
        <v>152</v>
      </c>
      <c r="R12" s="124"/>
      <c r="S12" s="124" t="s">
        <v>593</v>
      </c>
      <c r="T12" s="124" t="s">
        <v>593</v>
      </c>
      <c r="U12" s="124"/>
      <c r="V12" s="124"/>
      <c r="W12" s="124" t="s">
        <v>146</v>
      </c>
      <c r="X12" s="124" t="s">
        <v>149</v>
      </c>
      <c r="Y12" s="124"/>
      <c r="Z12" s="124"/>
      <c r="AA12" s="124"/>
      <c r="AB12" s="124"/>
      <c r="AC12" s="124"/>
      <c r="AD12" s="124"/>
      <c r="AE12" s="124"/>
      <c r="AF12" s="124" t="s">
        <v>613</v>
      </c>
      <c r="AG12" s="124" t="s">
        <v>621</v>
      </c>
      <c r="AH12" s="124" t="s">
        <v>734</v>
      </c>
      <c r="AI12" s="127" t="s">
        <v>168</v>
      </c>
      <c r="AK12" s="127" t="s">
        <v>432</v>
      </c>
    </row>
    <row r="13" spans="1:63" x14ac:dyDescent="0.3">
      <c r="A13" s="124" t="str">
        <f>IF(AND(AQ!$K$14="",AQ!$D$14=""),IF(DB!C12="","",DB!C12),IF(AQ!$D$14="",IF(DB!C12="","",DB!C12),IF(ISERROR(HLOOKUP(AQ!$D$14,$L$1:$AE$24,K12,FALSE)),"",IF(HLOOKUP(AQ!$D$14,$L$1:$AE$24,K12,FALSE)="","",HLOOKUP(AQ!$D$14,$L$1:$AE$24,K12,FALSE)))))</f>
        <v>Cash Protection Systems</v>
      </c>
      <c r="B13" s="124" t="str">
        <f>IF(AND(AQ!$K$14="",AQ!$D$14=""),IF(DB!F12="","",DB!F12),IF(AQ!$K$14="",IF(DB!F12="","",DB!F12),IF(ISERROR(VLOOKUP(K11,$I$1:$J$461,2,FALSE)),"",VLOOKUP(K11,$I$1:$J$461,2,FALSE))))</f>
        <v>Mining, Cement &amp; Chemical</v>
      </c>
      <c r="C13" s="124" t="s">
        <v>104</v>
      </c>
      <c r="D13" s="124" t="str">
        <f t="shared" si="0"/>
        <v>CSE Chemical Agent Detectors</v>
      </c>
      <c r="E13" s="124" t="str">
        <f t="shared" si="1"/>
        <v>Chemical Agent Detectors</v>
      </c>
      <c r="F13" s="124" t="s">
        <v>82</v>
      </c>
      <c r="G13" s="124" t="str">
        <f t="shared" si="2"/>
        <v>CSE Oil &amp; Gas</v>
      </c>
      <c r="H13" s="124" t="str">
        <f t="shared" si="3"/>
        <v>Oil &amp; Gas</v>
      </c>
      <c r="I13" s="124">
        <f t="shared" si="4"/>
        <v>0</v>
      </c>
      <c r="J13" s="124" t="str">
        <v/>
      </c>
      <c r="K13" s="124">
        <v>13</v>
      </c>
      <c r="L13" s="124" t="s">
        <v>606</v>
      </c>
      <c r="M13" s="124"/>
      <c r="N13" s="124"/>
      <c r="O13" s="124"/>
      <c r="P13" s="124" t="s">
        <v>607</v>
      </c>
      <c r="Q13" s="124" t="s">
        <v>593</v>
      </c>
      <c r="R13" s="124"/>
      <c r="S13" s="124" t="s">
        <v>608</v>
      </c>
      <c r="T13" s="124" t="s">
        <v>595</v>
      </c>
      <c r="U13" s="124"/>
      <c r="V13" s="124"/>
      <c r="W13" s="124" t="s">
        <v>143</v>
      </c>
      <c r="X13" s="124"/>
      <c r="Y13" s="124"/>
      <c r="Z13" s="124"/>
      <c r="AA13" s="124"/>
      <c r="AB13" s="124"/>
      <c r="AC13" s="124"/>
      <c r="AD13" s="124"/>
      <c r="AE13" s="124"/>
      <c r="AF13" s="124" t="s">
        <v>613</v>
      </c>
      <c r="AG13" s="124" t="s">
        <v>622</v>
      </c>
      <c r="AH13" s="124" t="s">
        <v>734</v>
      </c>
      <c r="AI13" s="127" t="s">
        <v>169</v>
      </c>
      <c r="AK13" s="127" t="s">
        <v>433</v>
      </c>
    </row>
    <row r="14" spans="1:63" x14ac:dyDescent="0.3">
      <c r="A14" s="124" t="str">
        <f>IF(AND(AQ!$K$14="",AQ!$D$14=""),IF(DB!C13="","",DB!C13),IF(AQ!$D$14="",IF(DB!C13="","",DB!C13),IF(ISERROR(HLOOKUP(AQ!$D$14,$L$1:$AE$24,K13,FALSE)),"",IF(HLOOKUP(AQ!$D$14,$L$1:$AE$24,K13,FALSE)="","",HLOOKUP(AQ!$D$14,$L$1:$AE$24,K13,FALSE)))))</f>
        <v>Chemical Agent Detectors</v>
      </c>
      <c r="B14" s="124" t="str">
        <f>IF(AND(AQ!$K$14="",AQ!$D$14=""),IF(DB!F13="","",DB!F13),IF(AQ!$K$14="",IF(DB!F13="","",DB!F13),IF(ISERROR(VLOOKUP(K12,$I$1:$J$461,2,FALSE)),"",VLOOKUP(K12,$I$1:$J$461,2,FALSE))))</f>
        <v>Oil &amp; Gas</v>
      </c>
      <c r="C14" s="124" t="s">
        <v>109</v>
      </c>
      <c r="D14" s="124" t="str">
        <f t="shared" si="0"/>
        <v>CSE Communication Modules</v>
      </c>
      <c r="E14" s="124" t="str">
        <f t="shared" si="1"/>
        <v>Communication Modules</v>
      </c>
      <c r="F14" s="124" t="s">
        <v>129</v>
      </c>
      <c r="G14" s="124" t="str">
        <f t="shared" si="2"/>
        <v>CSE Railway</v>
      </c>
      <c r="H14" s="124" t="str">
        <f t="shared" si="3"/>
        <v>Railway</v>
      </c>
      <c r="I14" s="124">
        <f t="shared" si="4"/>
        <v>0</v>
      </c>
      <c r="J14" s="124" t="str">
        <v/>
      </c>
      <c r="K14" s="124">
        <v>14</v>
      </c>
      <c r="L14" s="124" t="s">
        <v>609</v>
      </c>
      <c r="M14" s="124"/>
      <c r="N14" s="124"/>
      <c r="O14" s="124"/>
      <c r="P14" s="124" t="s">
        <v>599</v>
      </c>
      <c r="Q14" s="124" t="s">
        <v>153</v>
      </c>
      <c r="R14" s="124"/>
      <c r="S14" s="124" t="s">
        <v>588</v>
      </c>
      <c r="T14" s="124" t="s">
        <v>607</v>
      </c>
      <c r="U14" s="124"/>
      <c r="V14" s="124"/>
      <c r="W14" s="124"/>
      <c r="X14" s="124"/>
      <c r="Y14" s="124"/>
      <c r="Z14" s="124"/>
      <c r="AA14" s="124"/>
      <c r="AB14" s="124"/>
      <c r="AC14" s="124"/>
      <c r="AD14" s="124"/>
      <c r="AE14" s="124"/>
      <c r="AF14" s="124" t="s">
        <v>613</v>
      </c>
      <c r="AG14" s="124" t="s">
        <v>623</v>
      </c>
      <c r="AH14" s="124" t="s">
        <v>734</v>
      </c>
      <c r="AI14" s="127" t="s">
        <v>170</v>
      </c>
      <c r="AK14" s="127" t="s">
        <v>434</v>
      </c>
    </row>
    <row r="15" spans="1:63" x14ac:dyDescent="0.3">
      <c r="A15" s="124" t="str">
        <f>IF(AND(AQ!$K$14="",AQ!$D$14=""),IF(DB!C14="","",DB!C14),IF(AQ!$D$14="",IF(DB!C14="","",DB!C14),IF(ISERROR(HLOOKUP(AQ!$D$14,$L$1:$AE$24,K14,FALSE)),"",IF(HLOOKUP(AQ!$D$14,$L$1:$AE$24,K14,FALSE)="","",HLOOKUP(AQ!$D$14,$L$1:$AE$24,K14,FALSE)))))</f>
        <v>Communication Modules</v>
      </c>
      <c r="B15" s="124" t="str">
        <f>IF(AND(AQ!$K$14="",AQ!$D$14=""),IF(DB!F14="","",DB!F14),IF(AQ!$K$14="",IF(DB!F14="","",DB!F14),IF(ISERROR(VLOOKUP(K13,$I$1:$J$461,2,FALSE)),"",VLOOKUP(K13,$I$1:$J$461,2,FALSE))))</f>
        <v>Railway</v>
      </c>
      <c r="C15" s="124" t="s">
        <v>583</v>
      </c>
      <c r="D15" s="124" t="str">
        <f t="shared" si="0"/>
        <v>CSE Connected valves</v>
      </c>
      <c r="E15" s="124" t="str">
        <f t="shared" si="1"/>
        <v>Connected valves</v>
      </c>
      <c r="F15" s="124" t="s">
        <v>83</v>
      </c>
      <c r="G15" s="124" t="str">
        <f t="shared" si="2"/>
        <v>CSE Security</v>
      </c>
      <c r="H15" s="124" t="str">
        <f t="shared" si="3"/>
        <v>Security</v>
      </c>
      <c r="I15" s="124">
        <f t="shared" si="4"/>
        <v>0</v>
      </c>
      <c r="J15" s="124" t="str">
        <v/>
      </c>
      <c r="K15" s="124">
        <v>15</v>
      </c>
      <c r="L15" s="124"/>
      <c r="M15" s="124"/>
      <c r="N15" s="124"/>
      <c r="O15" s="124"/>
      <c r="P15" s="124" t="s">
        <v>111</v>
      </c>
      <c r="Q15" s="125" t="s">
        <v>588</v>
      </c>
      <c r="R15" s="124"/>
      <c r="S15" s="124" t="s">
        <v>599</v>
      </c>
      <c r="T15" s="124" t="s">
        <v>140</v>
      </c>
      <c r="U15" s="124"/>
      <c r="V15" s="124"/>
      <c r="W15" s="124"/>
      <c r="X15" s="124"/>
      <c r="Y15" s="124"/>
      <c r="Z15" s="124"/>
      <c r="AA15" s="124"/>
      <c r="AB15" s="124"/>
      <c r="AC15" s="124"/>
      <c r="AD15" s="124"/>
      <c r="AE15" s="124"/>
      <c r="AF15" s="124" t="s">
        <v>613</v>
      </c>
      <c r="AG15" s="124" t="s">
        <v>624</v>
      </c>
      <c r="AH15" s="124" t="s">
        <v>734</v>
      </c>
      <c r="AI15" s="127" t="s">
        <v>171</v>
      </c>
      <c r="AK15" s="127" t="s">
        <v>435</v>
      </c>
    </row>
    <row r="16" spans="1:63" x14ac:dyDescent="0.3">
      <c r="A16" s="124" t="str">
        <f>IF(AND(AQ!$K$14="",AQ!$D$14=""),IF(DB!C15="","",DB!C15),IF(AQ!$D$14="",IF(DB!C15="","",DB!C15),IF(ISERROR(HLOOKUP(AQ!$D$14,$L$1:$AE$24,K15,FALSE)),"",IF(HLOOKUP(AQ!$D$14,$L$1:$AE$24,K15,FALSE)="","",HLOOKUP(AQ!$D$14,$L$1:$AE$24,K15,FALSE)))))</f>
        <v>Connected valves</v>
      </c>
      <c r="B16" s="124" t="str">
        <f>IF(AND(AQ!$K$14="",AQ!$D$14=""),IF(DB!F15="","",DB!F15),IF(AQ!$K$14="",IF(DB!F15="","",DB!F15),IF(ISERROR(VLOOKUP(K14,$I$1:$J$461,2,FALSE)),"",VLOOKUP(K14,$I$1:$J$461,2,FALSE))))</f>
        <v>Security</v>
      </c>
      <c r="C16" s="124" t="s">
        <v>116</v>
      </c>
      <c r="D16" s="124" t="str">
        <f t="shared" si="0"/>
        <v>CSE Data Concentrators / Gateways</v>
      </c>
      <c r="E16" s="124" t="str">
        <f t="shared" si="1"/>
        <v>Data Concentrators / Gateways</v>
      </c>
      <c r="F16" s="125" t="s">
        <v>84</v>
      </c>
      <c r="G16" s="124" t="str">
        <f t="shared" si="2"/>
        <v>CSE Tracking</v>
      </c>
      <c r="H16" s="124" t="str">
        <f t="shared" si="3"/>
        <v>Tracking</v>
      </c>
      <c r="I16" s="124">
        <f t="shared" si="4"/>
        <v>0</v>
      </c>
      <c r="J16" s="124" t="str">
        <v/>
      </c>
      <c r="K16" s="124">
        <v>16</v>
      </c>
      <c r="L16" s="124"/>
      <c r="M16" s="124"/>
      <c r="N16" s="124"/>
      <c r="O16" s="124"/>
      <c r="P16" s="125" t="s">
        <v>600</v>
      </c>
      <c r="Q16" s="124" t="s">
        <v>148</v>
      </c>
      <c r="R16" s="124"/>
      <c r="S16" s="124" t="s">
        <v>605</v>
      </c>
      <c r="T16" s="124" t="s">
        <v>605</v>
      </c>
      <c r="U16" s="124"/>
      <c r="V16" s="124"/>
      <c r="W16" s="124"/>
      <c r="X16" s="124"/>
      <c r="Y16" s="124"/>
      <c r="Z16" s="124"/>
      <c r="AA16" s="124"/>
      <c r="AB16" s="124"/>
      <c r="AC16" s="124"/>
      <c r="AD16" s="124"/>
      <c r="AE16" s="124"/>
      <c r="AF16" s="124" t="s">
        <v>613</v>
      </c>
      <c r="AG16" s="124" t="s">
        <v>625</v>
      </c>
      <c r="AH16" s="124" t="s">
        <v>734</v>
      </c>
      <c r="AI16" s="127" t="s">
        <v>172</v>
      </c>
      <c r="AK16" s="127" t="s">
        <v>436</v>
      </c>
    </row>
    <row r="17" spans="1:37" x14ac:dyDescent="0.3">
      <c r="A17" s="124" t="str">
        <f>IF(AND(AQ!$K$14="",AQ!$D$14=""),IF(DB!C16="","",DB!C16),IF(AQ!$D$14="",IF(DB!C16="","",DB!C16),IF(ISERROR(HLOOKUP(AQ!$D$14,$L$1:$AE$24,K16,FALSE)),"",IF(HLOOKUP(AQ!$D$14,$L$1:$AE$24,K16,FALSE)="","",HLOOKUP(AQ!$D$14,$L$1:$AE$24,K16,FALSE)))))</f>
        <v>Data Concentrators / Gateways</v>
      </c>
      <c r="B17" s="124" t="str">
        <f>IF(AND(AQ!$K$14="",AQ!$D$14=""),IF(DB!F16="","",DB!F16),IF(AQ!$K$14="",IF(DB!F16="","",DB!F16),IF(ISERROR(VLOOKUP(K15,$I$1:$J$461,2,FALSE)),"",VLOOKUP(K15,$I$1:$J$461,2,FALSE))))</f>
        <v>Tracking</v>
      </c>
      <c r="C17" s="124" t="s">
        <v>586</v>
      </c>
      <c r="D17" s="124" t="str">
        <f t="shared" si="0"/>
        <v>CSE Dataloggers</v>
      </c>
      <c r="E17" s="124" t="str">
        <f t="shared" si="1"/>
        <v>Dataloggers</v>
      </c>
      <c r="F17" s="125"/>
      <c r="G17" s="124"/>
      <c r="H17" s="124"/>
      <c r="I17" s="124">
        <f t="shared" si="4"/>
        <v>0</v>
      </c>
      <c r="J17" s="124" t="str">
        <v/>
      </c>
      <c r="K17" s="124">
        <v>17</v>
      </c>
      <c r="L17" s="124"/>
      <c r="M17" s="124"/>
      <c r="N17" s="124"/>
      <c r="O17" s="124"/>
      <c r="P17" s="124" t="s">
        <v>610</v>
      </c>
      <c r="Q17" s="124" t="s">
        <v>594</v>
      </c>
      <c r="R17" s="124"/>
      <c r="S17" s="124"/>
      <c r="T17" s="124"/>
      <c r="U17" s="124"/>
      <c r="V17" s="124"/>
      <c r="W17" s="124"/>
      <c r="X17" s="124"/>
      <c r="Y17" s="124"/>
      <c r="Z17" s="124"/>
      <c r="AA17" s="124"/>
      <c r="AB17" s="124"/>
      <c r="AC17" s="124"/>
      <c r="AD17" s="124"/>
      <c r="AE17" s="124"/>
      <c r="AF17" s="124" t="s">
        <v>613</v>
      </c>
      <c r="AG17" s="124" t="s">
        <v>626</v>
      </c>
      <c r="AH17" s="124" t="s">
        <v>734</v>
      </c>
      <c r="AI17" s="127" t="s">
        <v>173</v>
      </c>
      <c r="AK17" s="127" t="s">
        <v>437</v>
      </c>
    </row>
    <row r="18" spans="1:37" x14ac:dyDescent="0.3">
      <c r="A18" s="124" t="str">
        <f>IF(AND(AQ!$K$14="",AQ!$D$14=""),IF(DB!C17="","",DB!C17),IF(AQ!$D$14="",IF(DB!C17="","",DB!C17),IF(ISERROR(HLOOKUP(AQ!$D$14,$L$1:$AE$24,K17,FALSE)),"",IF(HLOOKUP(AQ!$D$14,$L$1:$AE$24,K17,FALSE)="","",HLOOKUP(AQ!$D$14,$L$1:$AE$24,K17,FALSE)))))</f>
        <v>Dataloggers</v>
      </c>
      <c r="B18" s="124" t="str">
        <f>IF(AND(AQ!$K$14="",AQ!$D$14=""),IF(DB!F17="","",DB!F17),IF(AQ!$K$14="",IF(DB!F17="","",DB!F17),IF(ISERROR(VLOOKUP(K16,$I$1:$J$461,2,FALSE)),"",VLOOKUP(K16,$I$1:$J$461,2,FALSE))))</f>
        <v/>
      </c>
      <c r="C18" s="124" t="s">
        <v>114</v>
      </c>
      <c r="D18" s="124" t="str">
        <f t="shared" si="0"/>
        <v>CSE Downhole / Well Instrumentation</v>
      </c>
      <c r="E18" s="124" t="str">
        <f t="shared" si="1"/>
        <v>Downhole / Well Instrumentation</v>
      </c>
      <c r="F18" s="125"/>
      <c r="G18" s="124"/>
      <c r="H18" s="124"/>
      <c r="I18" s="124">
        <f t="shared" si="4"/>
        <v>0</v>
      </c>
      <c r="J18" s="124" t="str">
        <v/>
      </c>
      <c r="K18" s="124">
        <v>18</v>
      </c>
      <c r="L18" s="124"/>
      <c r="M18" s="124"/>
      <c r="N18" s="124"/>
      <c r="O18" s="124"/>
      <c r="P18" s="124"/>
      <c r="Q18" s="124" t="s">
        <v>154</v>
      </c>
      <c r="R18" s="124"/>
      <c r="S18" s="124"/>
      <c r="T18" s="124"/>
      <c r="U18" s="124"/>
      <c r="V18" s="124"/>
      <c r="W18" s="124"/>
      <c r="X18" s="124"/>
      <c r="Y18" s="124"/>
      <c r="Z18" s="124"/>
      <c r="AA18" s="124"/>
      <c r="AB18" s="124"/>
      <c r="AC18" s="124"/>
      <c r="AD18" s="124"/>
      <c r="AE18" s="124"/>
      <c r="AF18" s="124" t="s">
        <v>627</v>
      </c>
      <c r="AG18" s="124" t="s">
        <v>628</v>
      </c>
      <c r="AH18" s="124" t="s">
        <v>735</v>
      </c>
      <c r="AI18" s="127" t="s">
        <v>174</v>
      </c>
      <c r="AK18" s="127" t="s">
        <v>438</v>
      </c>
    </row>
    <row r="19" spans="1:37" x14ac:dyDescent="0.3">
      <c r="A19" s="124" t="str">
        <f>IF(AND(AQ!$K$14="",AQ!$D$14=""),IF(DB!C18="","",DB!C18),IF(AQ!$D$14="",IF(DB!C18="","",DB!C18),IF(ISERROR(HLOOKUP(AQ!$D$14,$L$1:$AE$24,K18,FALSE)),"",IF(HLOOKUP(AQ!$D$14,$L$1:$AE$24,K18,FALSE)="","",HLOOKUP(AQ!$D$14,$L$1:$AE$24,K18,FALSE)))))</f>
        <v>Downhole / Well Instrumentation</v>
      </c>
      <c r="B19" s="124" t="str">
        <f>IF(AND(AQ!$K$14="",AQ!$D$14=""),IF(DB!F18="","",DB!F18),IF(AQ!$K$14="",IF(DB!F18="","",DB!F18),IF(ISERROR(VLOOKUP(K17,$I$1:$J$461,2,FALSE)),"",VLOOKUP(K17,$I$1:$J$461,2,FALSE))))</f>
        <v/>
      </c>
      <c r="C19" s="124" t="s">
        <v>112</v>
      </c>
      <c r="D19" s="124" t="str">
        <f t="shared" si="0"/>
        <v>CSE E Health Devices</v>
      </c>
      <c r="E19" s="124" t="str">
        <f t="shared" si="1"/>
        <v>E Health Devices</v>
      </c>
      <c r="F19" s="125"/>
      <c r="G19" s="124"/>
      <c r="H19" s="124"/>
      <c r="I19" s="124">
        <f t="shared" si="4"/>
        <v>0</v>
      </c>
      <c r="J19" s="124" t="str">
        <v/>
      </c>
      <c r="K19" s="124">
        <v>19</v>
      </c>
      <c r="L19" s="124"/>
      <c r="M19" s="124"/>
      <c r="N19" s="124"/>
      <c r="O19" s="124"/>
      <c r="P19" s="124"/>
      <c r="Q19" s="124"/>
      <c r="R19" s="124"/>
      <c r="S19" s="124"/>
      <c r="T19" s="124"/>
      <c r="U19" s="124"/>
      <c r="V19" s="124"/>
      <c r="W19" s="124"/>
      <c r="X19" s="124"/>
      <c r="Y19" s="124"/>
      <c r="Z19" s="124"/>
      <c r="AA19" s="124"/>
      <c r="AB19" s="124"/>
      <c r="AC19" s="124"/>
      <c r="AD19" s="124"/>
      <c r="AE19" s="124"/>
      <c r="AF19" s="124" t="s">
        <v>627</v>
      </c>
      <c r="AG19" s="124" t="s">
        <v>629</v>
      </c>
      <c r="AH19" s="124" t="s">
        <v>735</v>
      </c>
      <c r="AI19" s="127" t="s">
        <v>175</v>
      </c>
      <c r="AK19" s="127" t="s">
        <v>443</v>
      </c>
    </row>
    <row r="20" spans="1:37" x14ac:dyDescent="0.3">
      <c r="A20" s="124" t="str">
        <f>IF(AND(AQ!$K$14="",AQ!$D$14=""),IF(DB!C19="","",DB!C19),IF(AQ!$D$14="",IF(DB!C19="","",DB!C19),IF(ISERROR(HLOOKUP(AQ!$D$14,$L$1:$AE$24,K19,FALSE)),"",IF(HLOOKUP(AQ!$D$14,$L$1:$AE$24,K19,FALSE)="","",HLOOKUP(AQ!$D$14,$L$1:$AE$24,K19,FALSE)))))</f>
        <v>E Health Devices</v>
      </c>
      <c r="B20" s="124" t="str">
        <f>IF(AND(AQ!$K$14="",AQ!$D$14=""),IF(DB!F19="","",DB!F19),IF(AQ!$K$14="",IF(DB!F19="","",DB!F19),IF(ISERROR(VLOOKUP(K18,$I$1:$J$461,2,FALSE)),"",VLOOKUP(K18,$I$1:$J$461,2,FALSE))))</f>
        <v/>
      </c>
      <c r="C20" s="124" t="s">
        <v>100</v>
      </c>
      <c r="D20" s="124" t="str">
        <f t="shared" si="0"/>
        <v>CSE E-Call</v>
      </c>
      <c r="E20" s="124" t="str">
        <f t="shared" si="1"/>
        <v>E-Call</v>
      </c>
      <c r="F20" s="124"/>
      <c r="G20" s="124"/>
      <c r="H20" s="124"/>
      <c r="I20" s="124">
        <f t="shared" si="4"/>
        <v>0</v>
      </c>
      <c r="J20" s="124" t="str">
        <v/>
      </c>
      <c r="K20" s="124">
        <v>20</v>
      </c>
      <c r="L20" s="124"/>
      <c r="M20" s="124"/>
      <c r="N20" s="124"/>
      <c r="O20" s="124"/>
      <c r="P20" s="124"/>
      <c r="Q20" s="124"/>
      <c r="R20" s="124"/>
      <c r="S20" s="124"/>
      <c r="T20" s="124"/>
      <c r="U20" s="124"/>
      <c r="V20" s="124"/>
      <c r="W20" s="124"/>
      <c r="X20" s="124"/>
      <c r="Y20" s="124"/>
      <c r="Z20" s="124"/>
      <c r="AA20" s="124"/>
      <c r="AB20" s="124"/>
      <c r="AC20" s="124"/>
      <c r="AD20" s="124"/>
      <c r="AE20" s="124"/>
      <c r="AF20" s="124" t="s">
        <v>627</v>
      </c>
      <c r="AG20" s="124" t="s">
        <v>630</v>
      </c>
      <c r="AH20" s="124" t="s">
        <v>735</v>
      </c>
      <c r="AI20" s="127" t="s">
        <v>176</v>
      </c>
      <c r="AK20" s="127" t="s">
        <v>439</v>
      </c>
    </row>
    <row r="21" spans="1:37" x14ac:dyDescent="0.3">
      <c r="A21" s="124" t="str">
        <f>IF(AND(AQ!$K$14="",AQ!$D$14=""),IF(DB!C20="","",DB!C20),IF(AQ!$D$14="",IF(DB!C20="","",DB!C20),IF(ISERROR(HLOOKUP(AQ!$D$14,$L$1:$AE$24,K20,FALSE)),"",IF(HLOOKUP(AQ!$D$14,$L$1:$AE$24,K20,FALSE)="","",HLOOKUP(AQ!$D$14,$L$1:$AE$24,K20,FALSE)))))</f>
        <v>E-Call</v>
      </c>
      <c r="B21" s="124" t="str">
        <f>IF(AND(AQ!$K$14="",AQ!$D$14=""),IF(DB!F20="","",DB!F20),IF(AQ!$K$14="",IF(DB!F20="","",DB!F20),IF(ISERROR(VLOOKUP(K19,$I$1:$J$461,2,FALSE)),"",VLOOKUP(K19,$I$1:$J$461,2,FALSE))))</f>
        <v/>
      </c>
      <c r="C21" s="124" t="s">
        <v>125</v>
      </c>
      <c r="D21" s="124" t="str">
        <f t="shared" si="0"/>
        <v>CSE Electricity Meters</v>
      </c>
      <c r="E21" s="124" t="str">
        <f t="shared" si="1"/>
        <v>Electricity Meters</v>
      </c>
      <c r="F21" s="124"/>
      <c r="G21" s="124"/>
      <c r="H21" s="124"/>
      <c r="I21" s="124">
        <f t="shared" si="4"/>
        <v>0</v>
      </c>
      <c r="J21" s="124" t="str">
        <v/>
      </c>
      <c r="K21" s="124">
        <v>21</v>
      </c>
      <c r="L21" s="124"/>
      <c r="M21" s="124"/>
      <c r="N21" s="124"/>
      <c r="O21" s="124"/>
      <c r="P21" s="124"/>
      <c r="Q21" s="124"/>
      <c r="R21" s="124"/>
      <c r="S21" s="124"/>
      <c r="T21" s="124"/>
      <c r="U21" s="124"/>
      <c r="V21" s="124"/>
      <c r="W21" s="124"/>
      <c r="X21" s="124"/>
      <c r="Y21" s="124"/>
      <c r="Z21" s="124"/>
      <c r="AA21" s="124"/>
      <c r="AB21" s="124"/>
      <c r="AC21" s="124"/>
      <c r="AD21" s="124"/>
      <c r="AE21" s="124"/>
      <c r="AF21" s="124" t="s">
        <v>627</v>
      </c>
      <c r="AG21" s="124" t="s">
        <v>631</v>
      </c>
      <c r="AH21" s="124" t="s">
        <v>735</v>
      </c>
      <c r="AI21" s="127" t="s">
        <v>177</v>
      </c>
      <c r="AK21" s="127" t="s">
        <v>440</v>
      </c>
    </row>
    <row r="22" spans="1:37" x14ac:dyDescent="0.3">
      <c r="A22" s="124" t="str">
        <f>IF(AND(AQ!$K$14="",AQ!$D$14=""),IF(DB!C21="","",DB!C21),IF(AQ!$D$14="",IF(DB!C21="","",DB!C21),IF(ISERROR(HLOOKUP(AQ!$D$14,$L$1:$AE$24,K21,FALSE)),"",IF(HLOOKUP(AQ!$D$14,$L$1:$AE$24,K21,FALSE)="","",HLOOKUP(AQ!$D$14,$L$1:$AE$24,K21,FALSE)))))</f>
        <v>Electricity Meters</v>
      </c>
      <c r="B22" s="124" t="str">
        <f>IF(AND(AQ!$K$14="",AQ!$D$14=""),IF(DB!F21="","",DB!F21),IF(AQ!$K$14="",IF(DB!F21="","",DB!F21),IF(ISERROR(VLOOKUP(K20,$I$1:$J$461,2,FALSE)),"",VLOOKUP(K20,$I$1:$J$461,2,FALSE))))</f>
        <v/>
      </c>
      <c r="C22" s="124" t="s">
        <v>131</v>
      </c>
      <c r="D22" s="124" t="str">
        <f t="shared" si="0"/>
        <v>CSE Electronic Safes</v>
      </c>
      <c r="E22" s="124" t="str">
        <f t="shared" si="1"/>
        <v>Electronic Safes</v>
      </c>
      <c r="F22" s="124"/>
      <c r="G22" s="124"/>
      <c r="H22" s="124"/>
      <c r="I22" s="124">
        <f t="shared" si="4"/>
        <v>0</v>
      </c>
      <c r="J22" s="124" t="str" cm="1">
        <f t="array" ref="J22:J41">TRANSPOSE(L28:AE28)</f>
        <v/>
      </c>
      <c r="K22" s="124">
        <v>22</v>
      </c>
      <c r="L22" s="124"/>
      <c r="M22" s="124"/>
      <c r="N22" s="124"/>
      <c r="O22" s="124"/>
      <c r="P22" s="124"/>
      <c r="Q22" s="124"/>
      <c r="R22" s="124"/>
      <c r="S22" s="124"/>
      <c r="T22" s="124"/>
      <c r="U22" s="124"/>
      <c r="V22" s="124"/>
      <c r="W22" s="124"/>
      <c r="X22" s="124"/>
      <c r="Y22" s="124"/>
      <c r="Z22" s="124"/>
      <c r="AA22" s="124"/>
      <c r="AB22" s="124"/>
      <c r="AC22" s="124"/>
      <c r="AD22" s="124"/>
      <c r="AE22" s="124"/>
      <c r="AF22" s="124" t="s">
        <v>632</v>
      </c>
      <c r="AG22" s="124" t="s">
        <v>633</v>
      </c>
      <c r="AH22" s="124" t="s">
        <v>634</v>
      </c>
      <c r="AI22" s="127" t="s">
        <v>178</v>
      </c>
    </row>
    <row r="23" spans="1:37" x14ac:dyDescent="0.3">
      <c r="A23" s="124" t="str">
        <f>IF(AND(AQ!$K$14="",AQ!$D$14=""),IF(DB!C22="","",DB!C22),IF(AQ!$D$14="",IF(DB!C22="","",DB!C22),IF(ISERROR(HLOOKUP(AQ!$D$14,$L$1:$AE$24,K22,FALSE)),"",IF(HLOOKUP(AQ!$D$14,$L$1:$AE$24,K22,FALSE)="","",HLOOKUP(AQ!$D$14,$L$1:$AE$24,K22,FALSE)))))</f>
        <v>Electronic Safes</v>
      </c>
      <c r="B23" s="124"/>
      <c r="C23" s="124" t="s">
        <v>579</v>
      </c>
      <c r="D23" s="124" t="str">
        <f t="shared" si="0"/>
        <v>CSE Electronic tollgate Collector</v>
      </c>
      <c r="E23" s="124" t="str">
        <f t="shared" si="1"/>
        <v>Electronic tollgate Collector</v>
      </c>
      <c r="F23" s="124"/>
      <c r="G23" s="124"/>
      <c r="H23" s="124"/>
      <c r="I23" s="124">
        <f t="shared" si="4"/>
        <v>0</v>
      </c>
      <c r="J23" s="124" t="str">
        <v/>
      </c>
      <c r="K23" s="124">
        <v>23</v>
      </c>
      <c r="L23" s="124"/>
      <c r="M23" s="124"/>
      <c r="N23" s="124"/>
      <c r="O23" s="124"/>
      <c r="P23" s="124"/>
      <c r="Q23" s="124"/>
      <c r="R23" s="124"/>
      <c r="S23" s="124"/>
      <c r="T23" s="124"/>
      <c r="U23" s="124"/>
      <c r="V23" s="124"/>
      <c r="W23" s="124"/>
      <c r="X23" s="124"/>
      <c r="Y23" s="124"/>
      <c r="Z23" s="124"/>
      <c r="AA23" s="124"/>
      <c r="AB23" s="124"/>
      <c r="AC23" s="124"/>
      <c r="AD23" s="124"/>
      <c r="AE23" s="124"/>
      <c r="AF23" s="124" t="s">
        <v>632</v>
      </c>
      <c r="AG23" s="124" t="s">
        <v>635</v>
      </c>
      <c r="AH23" s="124" t="s">
        <v>634</v>
      </c>
      <c r="AI23" s="127" t="s">
        <v>179</v>
      </c>
    </row>
    <row r="24" spans="1:37" x14ac:dyDescent="0.3">
      <c r="A24" s="124" t="str">
        <f>IF(AND(AQ!$K$14="",AQ!$D$14=""),IF(DB!C23="","",DB!C23),IF(AQ!$D$14="",IF(DB!C23="","",DB!C23),IF(ISERROR(HLOOKUP(AQ!$D$14,$L$1:$AE$24,K23,FALSE)),"",IF(HLOOKUP(AQ!$D$14,$L$1:$AE$24,K23,FALSE)="","",HLOOKUP(AQ!$D$14,$L$1:$AE$24,K23,FALSE)))))</f>
        <v>Electronic tollgate Collector</v>
      </c>
      <c r="B24" s="124"/>
      <c r="C24" s="124" t="s">
        <v>102</v>
      </c>
      <c r="D24" s="124" t="str">
        <f t="shared" si="0"/>
        <v>CSE Emergency Lighting Unit</v>
      </c>
      <c r="E24" s="124" t="str">
        <f t="shared" si="1"/>
        <v>Emergency Lighting Unit</v>
      </c>
      <c r="F24" s="124"/>
      <c r="G24" s="124"/>
      <c r="H24" s="124"/>
      <c r="I24" s="124">
        <f t="shared" si="4"/>
        <v>0</v>
      </c>
      <c r="J24" s="124" t="str">
        <v/>
      </c>
      <c r="K24" s="124">
        <v>24</v>
      </c>
      <c r="L24" s="124"/>
      <c r="M24" s="124"/>
      <c r="N24" s="124"/>
      <c r="O24" s="124"/>
      <c r="P24" s="124"/>
      <c r="Q24" s="124"/>
      <c r="R24" s="124"/>
      <c r="S24" s="124"/>
      <c r="T24" s="124"/>
      <c r="U24" s="124"/>
      <c r="V24" s="124"/>
      <c r="W24" s="124"/>
      <c r="X24" s="124"/>
      <c r="Y24" s="124"/>
      <c r="Z24" s="124"/>
      <c r="AA24" s="124"/>
      <c r="AB24" s="124"/>
      <c r="AC24" s="124"/>
      <c r="AD24" s="124"/>
      <c r="AE24" s="124"/>
      <c r="AF24" s="124" t="s">
        <v>632</v>
      </c>
      <c r="AG24" s="124" t="s">
        <v>636</v>
      </c>
      <c r="AH24" s="124" t="s">
        <v>634</v>
      </c>
      <c r="AI24" s="127" t="s">
        <v>180</v>
      </c>
    </row>
    <row r="25" spans="1:37" x14ac:dyDescent="0.3">
      <c r="A25" s="124" t="str">
        <f>IF(AND(AQ!$K$14="",AQ!$D$14=""),IF(DB!C24="","",DB!C24),IF(AQ!$D$14="",IF(DB!C24="","",DB!C24),IF(ISERROR(HLOOKUP(AQ!$D$14,$L$1:$AE$24,#REF!,FALSE)),"",IF(HLOOKUP(AQ!$D$14,$L$1:$AE$24,#REF!,FALSE)="","",HLOOKUP(AQ!$D$14,$L$1:$AE$24,#REF!,FALSE)))))</f>
        <v>Emergency Lighting Unit</v>
      </c>
      <c r="B25" s="124"/>
      <c r="C25" s="124" t="s">
        <v>580</v>
      </c>
      <c r="D25" s="124" t="str">
        <f t="shared" si="0"/>
        <v>CSE Emergency Locator Transmitters (ELTs)</v>
      </c>
      <c r="E25" s="124" t="str">
        <f t="shared" si="1"/>
        <v>Emergency Locator Transmitters (ELTs)</v>
      </c>
      <c r="F25" s="124"/>
      <c r="G25" s="124"/>
      <c r="H25" s="124"/>
      <c r="I25" s="124">
        <f t="shared" si="4"/>
        <v>0</v>
      </c>
      <c r="J25" s="124" t="str">
        <v/>
      </c>
      <c r="K25" s="124">
        <v>25</v>
      </c>
      <c r="L25" s="124" t="str">
        <f t="shared" ref="L25:AE25" si="5">L1</f>
        <v>Agriculture &amp; Environment</v>
      </c>
      <c r="M25" s="124" t="str">
        <f t="shared" si="5"/>
        <v>Automotive</v>
      </c>
      <c r="N25" s="124">
        <f t="shared" si="5"/>
        <v>0</v>
      </c>
      <c r="O25" s="124">
        <f t="shared" si="5"/>
        <v>0</v>
      </c>
      <c r="P25" s="124" t="str">
        <f t="shared" si="5"/>
        <v>Connected Cities</v>
      </c>
      <c r="Q25" s="124" t="str">
        <f t="shared" si="5"/>
        <v>Defense</v>
      </c>
      <c r="R25" s="124">
        <f t="shared" si="5"/>
        <v>0</v>
      </c>
      <c r="S25" s="124" t="str">
        <f t="shared" si="5"/>
        <v>Industrial infrastructure</v>
      </c>
      <c r="T25" s="124" t="str">
        <f t="shared" si="5"/>
        <v>Industrial IoT</v>
      </c>
      <c r="U25" s="124" t="str">
        <f t="shared" si="5"/>
        <v>Industrial vehicles</v>
      </c>
      <c r="V25" s="124" t="str">
        <f t="shared" si="5"/>
        <v>Marine</v>
      </c>
      <c r="W25" s="124" t="str">
        <f t="shared" si="5"/>
        <v>Medical</v>
      </c>
      <c r="X25" s="124" t="str">
        <f t="shared" si="5"/>
        <v>Metering</v>
      </c>
      <c r="Y25" s="124" t="str">
        <f t="shared" si="5"/>
        <v>Mining, Cement &amp; Chemical</v>
      </c>
      <c r="Z25" s="124" t="str">
        <f t="shared" si="5"/>
        <v>Oil &amp; Gas</v>
      </c>
      <c r="AA25" s="124" t="str">
        <f t="shared" si="5"/>
        <v>Railway</v>
      </c>
      <c r="AB25" s="124" t="str">
        <f t="shared" si="5"/>
        <v>Security</v>
      </c>
      <c r="AC25" s="124">
        <f t="shared" si="5"/>
        <v>0</v>
      </c>
      <c r="AD25" s="124">
        <f t="shared" si="5"/>
        <v>0</v>
      </c>
      <c r="AE25" s="124" t="str">
        <f t="shared" si="5"/>
        <v>Tracking</v>
      </c>
      <c r="AF25" s="124" t="s">
        <v>632</v>
      </c>
      <c r="AG25" s="124" t="s">
        <v>637</v>
      </c>
      <c r="AH25" s="124" t="s">
        <v>634</v>
      </c>
      <c r="AI25" s="127" t="s">
        <v>181</v>
      </c>
    </row>
    <row r="26" spans="1:37" x14ac:dyDescent="0.3">
      <c r="A26" s="124" t="str">
        <f>IF(AND(AQ!$K$14="",AQ!$D$14=""),IF(DB!C25="","",DB!C25),IF(AQ!$D$14="",IF(DB!C25="","",DB!C25),IF(ISERROR(HLOOKUP(AQ!$D$14,$L$1:$AE$24,#REF!,FALSE)),"",IF(HLOOKUP(AQ!$D$14,$L$1:$AE$24,#REF!,FALSE)="","",HLOOKUP(AQ!$D$14,$L$1:$AE$24,#REF!,FALSE)))))</f>
        <v>Emergency Locator Transmitters (ELTs)</v>
      </c>
      <c r="B26" s="124"/>
      <c r="C26" s="124" t="s">
        <v>589</v>
      </c>
      <c r="D26" s="124" t="str">
        <f t="shared" si="0"/>
        <v>CSE Emergency Position Indicating Radio Beacon (EPIRBS)</v>
      </c>
      <c r="E26" s="124" t="str">
        <f t="shared" si="1"/>
        <v>Emergency Position Indicating Radio Beacon (EPIRBS)</v>
      </c>
      <c r="F26" s="124"/>
      <c r="G26" s="124"/>
      <c r="H26" s="124"/>
      <c r="I26" s="124">
        <f t="shared" si="4"/>
        <v>0</v>
      </c>
      <c r="J26" s="124" t="str">
        <v/>
      </c>
      <c r="K26" s="124"/>
      <c r="L26" s="124"/>
      <c r="M26" s="124"/>
      <c r="N26" s="124"/>
      <c r="O26" s="124"/>
      <c r="P26" s="124"/>
      <c r="Q26" s="124"/>
      <c r="R26" s="124"/>
      <c r="S26" s="124"/>
      <c r="T26" s="124"/>
      <c r="U26" s="124"/>
      <c r="V26" s="124"/>
      <c r="W26" s="124"/>
      <c r="X26" s="124"/>
      <c r="Y26" s="124"/>
      <c r="Z26" s="124"/>
      <c r="AA26" s="124"/>
      <c r="AB26" s="124"/>
      <c r="AC26" s="124"/>
      <c r="AD26" s="124"/>
      <c r="AE26" s="124"/>
      <c r="AF26" s="124" t="s">
        <v>632</v>
      </c>
      <c r="AG26" s="124" t="s">
        <v>638</v>
      </c>
      <c r="AH26" s="124" t="s">
        <v>634</v>
      </c>
      <c r="AI26" s="127" t="s">
        <v>182</v>
      </c>
    </row>
    <row r="27" spans="1:37" x14ac:dyDescent="0.3">
      <c r="A27" s="124" t="str">
        <f>IF(AND(AQ!$K$14="",AQ!$D$14=""),IF(DB!C26="","",DB!C26),IF(AQ!$D$14="",IF(DB!C26="","",DB!C26),IF(ISERROR(HLOOKUP(AQ!$D$14,$L$1:$AE$24,#REF!,FALSE)),"",IF(HLOOKUP(AQ!$D$14,$L$1:$AE$24,#REF!,FALSE)="","",HLOOKUP(AQ!$D$14,$L$1:$AE$24,#REF!,FALSE)))))</f>
        <v>Emergency Position Indicating Radio Beacon (EPIRBS)</v>
      </c>
      <c r="B27" s="124"/>
      <c r="C27" s="124" t="s">
        <v>130</v>
      </c>
      <c r="D27" s="124" t="str">
        <f t="shared" si="0"/>
        <v>CSE Firemen Equipment</v>
      </c>
      <c r="E27" s="124" t="str">
        <f t="shared" si="1"/>
        <v>Firemen Equipment</v>
      </c>
      <c r="F27" s="124"/>
      <c r="G27" s="124"/>
      <c r="H27" s="124"/>
      <c r="I27" s="124">
        <f t="shared" si="4"/>
        <v>0</v>
      </c>
      <c r="J27" s="124" t="str">
        <v/>
      </c>
      <c r="K27" s="124"/>
      <c r="L27" s="124" t="str">
        <f>IF(AQ!$K$14="","",IF(AQ!$K$14=L2,$L$1,""))</f>
        <v/>
      </c>
      <c r="M27" s="124" t="str">
        <f>IF(AQ!$K$14="","",IF(AQ!$K$14=M2,$M$1,""))</f>
        <v/>
      </c>
      <c r="N27" s="124" t="str">
        <f>IF(AQ!$K$14="","",IF(AQ!$K$14=N2,$N$1,""))</f>
        <v/>
      </c>
      <c r="O27" s="124" t="str">
        <f>IF(AQ!$K$14="","",IF(AQ!$K$14=O2,$O$1,""))</f>
        <v/>
      </c>
      <c r="P27" s="124" t="str">
        <f>IF(AQ!$K$14="","",IF(AQ!$K$14=P2,$P$1,""))</f>
        <v/>
      </c>
      <c r="Q27" s="124" t="str">
        <f>IF(AQ!$K$14="","",IF(AQ!$K$14=Q2,$Q$1,""))</f>
        <v/>
      </c>
      <c r="R27" s="124" t="str">
        <f>IF(AQ!$K$14="","",IF(AQ!$K$14=R2,$R$1,""))</f>
        <v/>
      </c>
      <c r="S27" s="124" t="str">
        <f>IF(AQ!$K$14="","",IF(AQ!$K$14=S2,$S$1,""))</f>
        <v/>
      </c>
      <c r="T27" s="124" t="str">
        <f>IF(AQ!$K$14="","",IF(AQ!$K$14=T2,$T$1,""))</f>
        <v/>
      </c>
      <c r="U27" s="124" t="str">
        <f>IF(AQ!$K$14="","",IF(AQ!$K$14=U2,$U$1,""))</f>
        <v/>
      </c>
      <c r="V27" s="124" t="str">
        <f>IF(AQ!$K$14="","",IF(AQ!$K$14=V2,$V$1,""))</f>
        <v/>
      </c>
      <c r="W27" s="124" t="str">
        <f>IF(AQ!$K$14="","",IF(AQ!$K$14=W2,$W$1,""))</f>
        <v/>
      </c>
      <c r="X27" s="124" t="str">
        <f>IF(AQ!$K$14="","",IF(AQ!$K$14=X2,$X$1,""))</f>
        <v/>
      </c>
      <c r="Y27" s="124" t="str">
        <f>IF(AQ!$K$14="","",IF(AQ!$K$14=Y2,$Y$1,""))</f>
        <v/>
      </c>
      <c r="Z27" s="124" t="str">
        <f>IF(AQ!$K$14="","",IF(AQ!$K$14=Z2,$Z$1,""))</f>
        <v/>
      </c>
      <c r="AA27" s="124" t="str">
        <f>IF(AQ!$K$14="","",IF(AQ!$K$14=AA2,$AA$1,""))</f>
        <v/>
      </c>
      <c r="AB27" s="124" t="str">
        <f>IF(AQ!$K$14="","",IF(AQ!$K$14=AB2,$AB$1,""))</f>
        <v/>
      </c>
      <c r="AC27" s="124" t="str">
        <f>IF(AQ!$K$14="","",IF(AQ!$K$14=AC2,$AC$1,""))</f>
        <v/>
      </c>
      <c r="AD27" s="124" t="str">
        <f>IF(AQ!$K$14="","",IF(AQ!$K$14=AD2,$AD$1,""))</f>
        <v/>
      </c>
      <c r="AE27" s="124" t="str">
        <f>IF(AQ!$K$14="","",IF(AQ!$K$14=AE2,$AE$1,""))</f>
        <v/>
      </c>
      <c r="AF27" s="124" t="s">
        <v>632</v>
      </c>
      <c r="AG27" s="124" t="s">
        <v>639</v>
      </c>
      <c r="AH27" s="124" t="s">
        <v>634</v>
      </c>
      <c r="AI27" s="127" t="s">
        <v>183</v>
      </c>
    </row>
    <row r="28" spans="1:37" x14ac:dyDescent="0.3">
      <c r="A28" s="124" t="str">
        <f>IF(AND(AQ!$K$14="",AQ!$D$14=""),IF(DB!C27="","",DB!C27),IF(AQ!$D$14="",IF(DB!C27="","",DB!C27),IF(ISERROR(HLOOKUP(AQ!$D$14,$L$1:$AE$24,#REF!,FALSE)),"",IF(HLOOKUP(AQ!$D$14,$L$1:$AE$24,#REF!,FALSE)="","",HLOOKUP(AQ!$D$14,$L$1:$AE$24,#REF!,FALSE)))))</f>
        <v>Firemen Equipment</v>
      </c>
      <c r="B28" s="124"/>
      <c r="C28" s="124" t="s">
        <v>592</v>
      </c>
      <c r="D28" s="124" t="str">
        <f t="shared" si="0"/>
        <v>CSE Flow Meter</v>
      </c>
      <c r="E28" s="124" t="str">
        <f t="shared" si="1"/>
        <v>Flow Meter</v>
      </c>
      <c r="F28" s="124"/>
      <c r="G28" s="124"/>
      <c r="H28" s="124"/>
      <c r="I28" s="124">
        <f t="shared" si="4"/>
        <v>0</v>
      </c>
      <c r="J28" s="124" t="str">
        <v/>
      </c>
      <c r="K28" s="124"/>
      <c r="L28" s="124" t="str">
        <f>IF(AQ!$K$14="","",IF(AQ!$K$14=L3,$L$1,""))</f>
        <v/>
      </c>
      <c r="M28" s="124" t="str">
        <f>IF(AQ!$K$14="","",IF(AQ!$K$14=M3,$M$1,""))</f>
        <v/>
      </c>
      <c r="N28" s="124" t="str">
        <f>IF(AQ!$K$14="","",IF(AQ!$K$14=N3,$N$1,""))</f>
        <v/>
      </c>
      <c r="O28" s="124" t="str">
        <f>IF(AQ!$K$14="","",IF(AQ!$K$14=O3,$O$1,""))</f>
        <v/>
      </c>
      <c r="P28" s="124" t="str">
        <f>IF(AQ!$K$14="","",IF(AQ!$K$14=P3,$P$1,""))</f>
        <v/>
      </c>
      <c r="Q28" s="124" t="str">
        <f>IF(AQ!$K$14="","",IF(AQ!$K$14=Q3,$Q$1,""))</f>
        <v/>
      </c>
      <c r="R28" s="124" t="str">
        <f>IF(AQ!$K$14="","",IF(AQ!$K$14=R3,$R$1,""))</f>
        <v/>
      </c>
      <c r="S28" s="124" t="str">
        <f>IF(AQ!$K$14="","",IF(AQ!$K$14=S3,$S$1,""))</f>
        <v/>
      </c>
      <c r="T28" s="124" t="str">
        <f>IF(AQ!$K$14="","",IF(AQ!$K$14=T3,$T$1,""))</f>
        <v/>
      </c>
      <c r="U28" s="124" t="str">
        <f>IF(AQ!$K$14="","",IF(AQ!$K$14=U3,$U$1,""))</f>
        <v/>
      </c>
      <c r="V28" s="124" t="str">
        <f>IF(AQ!$K$14="","",IF(AQ!$K$14=V3,$V$1,""))</f>
        <v/>
      </c>
      <c r="W28" s="124" t="str">
        <f>IF(AQ!$K$14="","",IF(AQ!$K$14=W3,$W$1,""))</f>
        <v/>
      </c>
      <c r="X28" s="124" t="str">
        <f>IF(AQ!$K$14="","",IF(AQ!$K$14=X3,$X$1,""))</f>
        <v/>
      </c>
      <c r="Y28" s="124" t="str">
        <f>IF(AQ!$K$14="","",IF(AQ!$K$14=Y3,$Y$1,""))</f>
        <v/>
      </c>
      <c r="Z28" s="124" t="str">
        <f>IF(AQ!$K$14="","",IF(AQ!$K$14=Z3,$Z$1,""))</f>
        <v/>
      </c>
      <c r="AA28" s="124" t="str">
        <f>IF(AQ!$K$14="","",IF(AQ!$K$14=AA3,$AA$1,""))</f>
        <v/>
      </c>
      <c r="AB28" s="124" t="str">
        <f>IF(AQ!$K$14="","",IF(AQ!$K$14=AB3,$AB$1,""))</f>
        <v/>
      </c>
      <c r="AC28" s="124" t="str">
        <f>IF(AQ!$K$14="","",IF(AQ!$K$14=AC3,$AC$1,""))</f>
        <v/>
      </c>
      <c r="AD28" s="124" t="str">
        <f>IF(AQ!$K$14="","",IF(AQ!$K$14=AD3,$AD$1,""))</f>
        <v/>
      </c>
      <c r="AE28" s="124" t="str">
        <f>IF(AQ!$K$14="","",IF(AQ!$K$14=AE3,$AE$1,""))</f>
        <v/>
      </c>
      <c r="AF28" s="124" t="s">
        <v>632</v>
      </c>
      <c r="AG28" s="124" t="s">
        <v>631</v>
      </c>
      <c r="AH28" s="124" t="s">
        <v>634</v>
      </c>
      <c r="AI28" s="127" t="s">
        <v>184</v>
      </c>
    </row>
    <row r="29" spans="1:37" x14ac:dyDescent="0.3">
      <c r="A29" s="124" t="str">
        <f>IF(AND(AQ!$K$14="",AQ!$D$14=""),IF(DB!C28="","",DB!C28),IF(AQ!$D$14="",IF(DB!C28="","",DB!C28),IF(ISERROR(HLOOKUP(AQ!$D$14,$L$1:$AE$24,#REF!,FALSE)),"",IF(HLOOKUP(AQ!$D$14,$L$1:$AE$24,#REF!,FALSE)="","",HLOOKUP(AQ!$D$14,$L$1:$AE$24,#REF!,FALSE)))))</f>
        <v>Flow Meter</v>
      </c>
      <c r="B29" s="124"/>
      <c r="C29" s="124" t="s">
        <v>123</v>
      </c>
      <c r="D29" s="124" t="str">
        <f t="shared" si="0"/>
        <v>CSE Forklifts</v>
      </c>
      <c r="E29" s="124" t="str">
        <f t="shared" si="1"/>
        <v>Forklifts</v>
      </c>
      <c r="F29" s="124"/>
      <c r="G29" s="124"/>
      <c r="H29" s="124"/>
      <c r="I29" s="124">
        <f t="shared" si="4"/>
        <v>0</v>
      </c>
      <c r="J29" s="124" t="str">
        <v/>
      </c>
      <c r="K29" s="124"/>
      <c r="L29" s="124" t="str">
        <f>IF(AQ!$K$14="","",IF(AQ!$K$14=L4,$L$1,""))</f>
        <v/>
      </c>
      <c r="M29" s="124" t="str">
        <f>IF(AQ!$K$14="","",IF(AQ!$K$14=M4,$M$1,""))</f>
        <v/>
      </c>
      <c r="N29" s="124" t="str">
        <f>IF(AQ!$K$14="","",IF(AQ!$K$14=N4,$N$1,""))</f>
        <v/>
      </c>
      <c r="O29" s="124" t="str">
        <f>IF(AQ!$K$14="","",IF(AQ!$K$14=O4,$O$1,""))</f>
        <v/>
      </c>
      <c r="P29" s="124" t="str">
        <f>IF(AQ!$K$14="","",IF(AQ!$K$14=P4,$P$1,""))</f>
        <v/>
      </c>
      <c r="Q29" s="124" t="str">
        <f>IF(AQ!$K$14="","",IF(AQ!$K$14=Q4,$Q$1,""))</f>
        <v/>
      </c>
      <c r="R29" s="124" t="str">
        <f>IF(AQ!$K$14="","",IF(AQ!$K$14=R4,$R$1,""))</f>
        <v/>
      </c>
      <c r="S29" s="124" t="str">
        <f>IF(AQ!$K$14="","",IF(AQ!$K$14=S4,$S$1,""))</f>
        <v/>
      </c>
      <c r="T29" s="124" t="str">
        <f>IF(AQ!$K$14="","",IF(AQ!$K$14=T4,$T$1,""))</f>
        <v/>
      </c>
      <c r="U29" s="124" t="str">
        <f>IF(AQ!$K$14="","",IF(AQ!$K$14=U4,$U$1,""))</f>
        <v/>
      </c>
      <c r="V29" s="124" t="str">
        <f>IF(AQ!$K$14="","",IF(AQ!$K$14=V4,$V$1,""))</f>
        <v/>
      </c>
      <c r="W29" s="124" t="str">
        <f>IF(AQ!$K$14="","",IF(AQ!$K$14=W4,$W$1,""))</f>
        <v/>
      </c>
      <c r="X29" s="124" t="str">
        <f>IF(AQ!$K$14="","",IF(AQ!$K$14=X4,$X$1,""))</f>
        <v/>
      </c>
      <c r="Y29" s="124" t="str">
        <f>IF(AQ!$K$14="","",IF(AQ!$K$14=Y4,$Y$1,""))</f>
        <v/>
      </c>
      <c r="Z29" s="124" t="str">
        <f>IF(AQ!$K$14="","",IF(AQ!$K$14=Z4,$Z$1,""))</f>
        <v/>
      </c>
      <c r="AA29" s="124" t="str">
        <f>IF(AQ!$K$14="","",IF(AQ!$K$14=AA4,$AA$1,""))</f>
        <v/>
      </c>
      <c r="AB29" s="124" t="str">
        <f>IF(AQ!$K$14="","",IF(AQ!$K$14=AB4,$AB$1,""))</f>
        <v/>
      </c>
      <c r="AC29" s="124" t="str">
        <f>IF(AQ!$K$14="","",IF(AQ!$K$14=AC4,$AC$1,""))</f>
        <v/>
      </c>
      <c r="AD29" s="124" t="str">
        <f>IF(AQ!$K$14="","",IF(AQ!$K$14=AD4,$AD$1,""))</f>
        <v/>
      </c>
      <c r="AE29" s="124" t="str">
        <f>IF(AQ!$K$14="","",IF(AQ!$K$14=AE4,$AE$1,""))</f>
        <v/>
      </c>
      <c r="AF29" s="124" t="s">
        <v>632</v>
      </c>
      <c r="AG29" s="124" t="s">
        <v>640</v>
      </c>
      <c r="AH29" s="124" t="s">
        <v>634</v>
      </c>
      <c r="AI29" s="127" t="s">
        <v>185</v>
      </c>
    </row>
    <row r="30" spans="1:37" x14ac:dyDescent="0.3">
      <c r="A30" s="124" t="str">
        <f>IF(AND(AQ!$K$14="",AQ!$D$14=""),IF(DB!C29="","",DB!C29),IF(AQ!$D$14="",IF(DB!C29="","",DB!C29),IF(ISERROR(HLOOKUP(AQ!$D$14,$L$1:$AE$24,#REF!,FALSE)),"",IF(HLOOKUP(AQ!$D$14,$L$1:$AE$24,#REF!,FALSE)="","",HLOOKUP(AQ!$D$14,$L$1:$AE$24,#REF!,FALSE)))))</f>
        <v>Forklifts</v>
      </c>
      <c r="B30" s="124"/>
      <c r="C30" s="124" t="s">
        <v>113</v>
      </c>
      <c r="D30" s="124" t="str">
        <f t="shared" si="0"/>
        <v>CSE Future Soldier Combat Systems</v>
      </c>
      <c r="E30" s="124" t="str">
        <f t="shared" si="1"/>
        <v>Future Soldier Combat Systems</v>
      </c>
      <c r="F30" s="124"/>
      <c r="G30" s="124"/>
      <c r="H30" s="124"/>
      <c r="I30" s="124">
        <f t="shared" si="4"/>
        <v>0</v>
      </c>
      <c r="J30" s="124" t="str">
        <v/>
      </c>
      <c r="K30" s="124"/>
      <c r="L30" s="124" t="str">
        <f>IF(AQ!$K$14="","",IF(AQ!$K$14=L5,$L$1,""))</f>
        <v/>
      </c>
      <c r="M30" s="124" t="str">
        <f>IF(AQ!$K$14="","",IF(AQ!$K$14=M5,$M$1,""))</f>
        <v/>
      </c>
      <c r="N30" s="124" t="str">
        <f>IF(AQ!$K$14="","",IF(AQ!$K$14=N5,$N$1,""))</f>
        <v/>
      </c>
      <c r="O30" s="124" t="str">
        <f>IF(AQ!$K$14="","",IF(AQ!$K$14=O5,$O$1,""))</f>
        <v/>
      </c>
      <c r="P30" s="124" t="str">
        <f>IF(AQ!$K$14="","",IF(AQ!$K$14=P5,$P$1,""))</f>
        <v/>
      </c>
      <c r="Q30" s="124" t="str">
        <f>IF(AQ!$K$14="","",IF(AQ!$K$14=Q5,$Q$1,""))</f>
        <v/>
      </c>
      <c r="R30" s="124" t="str">
        <f>IF(AQ!$K$14="","",IF(AQ!$K$14=R5,$R$1,""))</f>
        <v/>
      </c>
      <c r="S30" s="124" t="str">
        <f>IF(AQ!$K$14="","",IF(AQ!$K$14=S5,$S$1,""))</f>
        <v/>
      </c>
      <c r="T30" s="124" t="str">
        <f>IF(AQ!$K$14="","",IF(AQ!$K$14=T5,$T$1,""))</f>
        <v/>
      </c>
      <c r="U30" s="124" t="str">
        <f>IF(AQ!$K$14="","",IF(AQ!$K$14=U5,$U$1,""))</f>
        <v/>
      </c>
      <c r="V30" s="124" t="str">
        <f>IF(AQ!$K$14="","",IF(AQ!$K$14=V5,$V$1,""))</f>
        <v/>
      </c>
      <c r="W30" s="124" t="str">
        <f>IF(AQ!$K$14="","",IF(AQ!$K$14=W5,$W$1,""))</f>
        <v/>
      </c>
      <c r="X30" s="124" t="str">
        <f>IF(AQ!$K$14="","",IF(AQ!$K$14=X5,$X$1,""))</f>
        <v/>
      </c>
      <c r="Y30" s="124" t="str">
        <f>IF(AQ!$K$14="","",IF(AQ!$K$14=Y5,$Y$1,""))</f>
        <v/>
      </c>
      <c r="Z30" s="124" t="str">
        <f>IF(AQ!$K$14="","",IF(AQ!$K$14=Z5,$Z$1,""))</f>
        <v/>
      </c>
      <c r="AA30" s="124" t="str">
        <f>IF(AQ!$K$14="","",IF(AQ!$K$14=AA5,$AA$1,""))</f>
        <v/>
      </c>
      <c r="AB30" s="124" t="str">
        <f>IF(AQ!$K$14="","",IF(AQ!$K$14=AB5,$AB$1,""))</f>
        <v/>
      </c>
      <c r="AC30" s="124" t="str">
        <f>IF(AQ!$K$14="","",IF(AQ!$K$14=AC5,$AC$1,""))</f>
        <v/>
      </c>
      <c r="AD30" s="124" t="str">
        <f>IF(AQ!$K$14="","",IF(AQ!$K$14=AD5,$AD$1,""))</f>
        <v/>
      </c>
      <c r="AE30" s="124" t="str">
        <f>IF(AQ!$K$14="","",IF(AQ!$K$14=AE5,$AE$1,""))</f>
        <v/>
      </c>
      <c r="AF30" s="124" t="s">
        <v>641</v>
      </c>
      <c r="AG30" s="124" t="s">
        <v>642</v>
      </c>
      <c r="AH30" s="124" t="s">
        <v>643</v>
      </c>
      <c r="AI30" s="127" t="s">
        <v>186</v>
      </c>
    </row>
    <row r="31" spans="1:37" x14ac:dyDescent="0.3">
      <c r="A31" s="124" t="str">
        <f>IF(AND(AQ!$K$14="",AQ!$D$14=""),IF(DB!C30="","",DB!C30),IF(AQ!$D$14="",IF(DB!C30="","",DB!C30),IF(ISERROR(HLOOKUP(AQ!$D$14,$L$1:$AE$24,#REF!,FALSE)),"",IF(HLOOKUP(AQ!$D$14,$L$1:$AE$24,#REF!,FALSE)="","",HLOOKUP(AQ!$D$14,$L$1:$AE$24,#REF!,FALSE)))))</f>
        <v>Future Soldier Combat Systems</v>
      </c>
      <c r="B31" s="124"/>
      <c r="C31" s="124" t="s">
        <v>584</v>
      </c>
      <c r="D31" s="124" t="str">
        <f t="shared" si="0"/>
        <v>CSE Gas detection</v>
      </c>
      <c r="E31" s="124" t="str">
        <f t="shared" si="1"/>
        <v>Gas detection</v>
      </c>
      <c r="F31" s="124"/>
      <c r="G31" s="124"/>
      <c r="H31" s="124"/>
      <c r="I31" s="124">
        <f t="shared" si="4"/>
        <v>0</v>
      </c>
      <c r="J31" s="124" t="str">
        <v/>
      </c>
      <c r="K31" s="124"/>
      <c r="L31" s="124" t="str">
        <f>IF(AQ!$K$14="","",IF(AQ!$K$14=L6,$L$1,""))</f>
        <v/>
      </c>
      <c r="M31" s="124" t="str">
        <f>IF(AQ!$K$14="","",IF(AQ!$K$14=M6,$M$1,""))</f>
        <v/>
      </c>
      <c r="N31" s="124" t="str">
        <f>IF(AQ!$K$14="","",IF(AQ!$K$14=N6,$N$1,""))</f>
        <v/>
      </c>
      <c r="O31" s="124" t="str">
        <f>IF(AQ!$K$14="","",IF(AQ!$K$14=O6,$O$1,""))</f>
        <v/>
      </c>
      <c r="P31" s="124" t="str">
        <f>IF(AQ!$K$14="","",IF(AQ!$K$14=P6,$P$1,""))</f>
        <v/>
      </c>
      <c r="Q31" s="124" t="str">
        <f>IF(AQ!$K$14="","",IF(AQ!$K$14=Q6,$Q$1,""))</f>
        <v/>
      </c>
      <c r="R31" s="124" t="str">
        <f>IF(AQ!$K$14="","",IF(AQ!$K$14=R6,$R$1,""))</f>
        <v/>
      </c>
      <c r="S31" s="124" t="str">
        <f>IF(AQ!$K$14="","",IF(AQ!$K$14=S6,$S$1,""))</f>
        <v/>
      </c>
      <c r="T31" s="124" t="str">
        <f>IF(AQ!$K$14="","",IF(AQ!$K$14=T6,$T$1,""))</f>
        <v/>
      </c>
      <c r="U31" s="124" t="str">
        <f>IF(AQ!$K$14="","",IF(AQ!$K$14=U6,$U$1,""))</f>
        <v/>
      </c>
      <c r="V31" s="124" t="str">
        <f>IF(AQ!$K$14="","",IF(AQ!$K$14=V6,$V$1,""))</f>
        <v/>
      </c>
      <c r="W31" s="124" t="str">
        <f>IF(AQ!$K$14="","",IF(AQ!$K$14=W6,$W$1,""))</f>
        <v/>
      </c>
      <c r="X31" s="124" t="str">
        <f>IF(AQ!$K$14="","",IF(AQ!$K$14=X6,$X$1,""))</f>
        <v/>
      </c>
      <c r="Y31" s="124" t="str">
        <f>IF(AQ!$K$14="","",IF(AQ!$K$14=Y6,$Y$1,""))</f>
        <v/>
      </c>
      <c r="Z31" s="124" t="str">
        <f>IF(AQ!$K$14="","",IF(AQ!$K$14=Z6,$Z$1,""))</f>
        <v/>
      </c>
      <c r="AA31" s="124" t="str">
        <f>IF(AQ!$K$14="","",IF(AQ!$K$14=AA6,$AA$1,""))</f>
        <v/>
      </c>
      <c r="AB31" s="124" t="str">
        <f>IF(AQ!$K$14="","",IF(AQ!$K$14=AB6,$AB$1,""))</f>
        <v/>
      </c>
      <c r="AC31" s="124" t="str">
        <f>IF(AQ!$K$14="","",IF(AQ!$K$14=AC6,$AC$1,""))</f>
        <v/>
      </c>
      <c r="AD31" s="124" t="str">
        <f>IF(AQ!$K$14="","",IF(AQ!$K$14=AD6,$AD$1,""))</f>
        <v/>
      </c>
      <c r="AE31" s="124" t="str">
        <f>IF(AQ!$K$14="","",IF(AQ!$K$14=AE6,$AE$1,""))</f>
        <v/>
      </c>
      <c r="AF31" s="124" t="s">
        <v>641</v>
      </c>
      <c r="AG31" s="124" t="s">
        <v>614</v>
      </c>
      <c r="AH31" s="124" t="s">
        <v>643</v>
      </c>
      <c r="AI31" s="127" t="s">
        <v>187</v>
      </c>
    </row>
    <row r="32" spans="1:37" x14ac:dyDescent="0.3">
      <c r="A32" s="124" t="str">
        <f>IF(AND(AQ!$K$14="",AQ!$D$14=""),IF(DB!C31="","",DB!C31),IF(AQ!$D$14="",IF(DB!C31="","",DB!C31),IF(ISERROR(HLOOKUP(AQ!$D$14,$L$1:$AE$24,#REF!,FALSE)),"",IF(HLOOKUP(AQ!$D$14,$L$1:$AE$24,#REF!,FALSE)="","",HLOOKUP(AQ!$D$14,$L$1:$AE$24,#REF!,FALSE)))))</f>
        <v>Gas detection</v>
      </c>
      <c r="B32" s="124"/>
      <c r="C32" s="124" t="s">
        <v>132</v>
      </c>
      <c r="D32" s="124" t="str">
        <f t="shared" si="0"/>
        <v>CSE Gas Meters</v>
      </c>
      <c r="E32" s="124" t="str">
        <f t="shared" si="1"/>
        <v>Gas Meters</v>
      </c>
      <c r="F32" s="124"/>
      <c r="G32" s="124"/>
      <c r="H32" s="124"/>
      <c r="I32" s="124">
        <f t="shared" si="4"/>
        <v>0</v>
      </c>
      <c r="J32" s="124" t="str">
        <v/>
      </c>
      <c r="K32" s="124"/>
      <c r="L32" s="124" t="str">
        <f>IF(AQ!$K$14="","",IF(AQ!$K$14=L7,$L$1,""))</f>
        <v/>
      </c>
      <c r="M32" s="124" t="str">
        <f>IF(AQ!$K$14="","",IF(AQ!$K$14=M7,$M$1,""))</f>
        <v/>
      </c>
      <c r="N32" s="124" t="str">
        <f>IF(AQ!$K$14="","",IF(AQ!$K$14=N7,$N$1,""))</f>
        <v/>
      </c>
      <c r="O32" s="124" t="str">
        <f>IF(AQ!$K$14="","",IF(AQ!$K$14=O7,$O$1,""))</f>
        <v/>
      </c>
      <c r="P32" s="124" t="str">
        <f>IF(AQ!$K$14="","",IF(AQ!$K$14=P7,$P$1,""))</f>
        <v/>
      </c>
      <c r="Q32" s="124" t="str">
        <f>IF(AQ!$K$14="","",IF(AQ!$K$14=Q7,$Q$1,""))</f>
        <v/>
      </c>
      <c r="R32" s="124" t="str">
        <f>IF(AQ!$K$14="","",IF(AQ!$K$14=R7,$R$1,""))</f>
        <v/>
      </c>
      <c r="S32" s="124" t="str">
        <f>IF(AQ!$K$14="","",IF(AQ!$K$14=S7,$S$1,""))</f>
        <v/>
      </c>
      <c r="T32" s="124" t="str">
        <f>IF(AQ!$K$14="","",IF(AQ!$K$14=T7,$T$1,""))</f>
        <v/>
      </c>
      <c r="U32" s="124" t="str">
        <f>IF(AQ!$K$14="","",IF(AQ!$K$14=U7,$U$1,""))</f>
        <v/>
      </c>
      <c r="V32" s="124" t="str">
        <f>IF(AQ!$K$14="","",IF(AQ!$K$14=V7,$V$1,""))</f>
        <v/>
      </c>
      <c r="W32" s="124" t="str">
        <f>IF(AQ!$K$14="","",IF(AQ!$K$14=W7,$W$1,""))</f>
        <v/>
      </c>
      <c r="X32" s="124" t="str">
        <f>IF(AQ!$K$14="","",IF(AQ!$K$14=X7,$X$1,""))</f>
        <v/>
      </c>
      <c r="Y32" s="124" t="str">
        <f>IF(AQ!$K$14="","",IF(AQ!$K$14=Y7,$Y$1,""))</f>
        <v/>
      </c>
      <c r="Z32" s="124" t="str">
        <f>IF(AQ!$K$14="","",IF(AQ!$K$14=Z7,$Z$1,""))</f>
        <v/>
      </c>
      <c r="AA32" s="124" t="str">
        <f>IF(AQ!$K$14="","",IF(AQ!$K$14=AA7,$AA$1,""))</f>
        <v/>
      </c>
      <c r="AB32" s="124" t="str">
        <f>IF(AQ!$K$14="","",IF(AQ!$K$14=AB7,$AB$1,""))</f>
        <v/>
      </c>
      <c r="AC32" s="124" t="str">
        <f>IF(AQ!$K$14="","",IF(AQ!$K$14=AC7,$AC$1,""))</f>
        <v/>
      </c>
      <c r="AD32" s="124" t="str">
        <f>IF(AQ!$K$14="","",IF(AQ!$K$14=AD7,$AD$1,""))</f>
        <v/>
      </c>
      <c r="AE32" s="124" t="str">
        <f>IF(AQ!$K$14="","",IF(AQ!$K$14=AE7,$AE$1,""))</f>
        <v/>
      </c>
      <c r="AF32" s="124" t="s">
        <v>641</v>
      </c>
      <c r="AG32" s="124" t="s">
        <v>644</v>
      </c>
      <c r="AH32" s="124" t="s">
        <v>643</v>
      </c>
      <c r="AI32" s="127" t="s">
        <v>188</v>
      </c>
    </row>
    <row r="33" spans="1:35" x14ac:dyDescent="0.3">
      <c r="A33" s="124" t="str">
        <f>IF(AND(AQ!$K$14="",AQ!$D$14=""),IF(DB!C32="","",DB!C32),IF(AQ!$D$14="",IF(DB!C32="","",DB!C32),IF(ISERROR(HLOOKUP(AQ!$D$14,$L$1:$AE$24,#REF!,FALSE)),"",IF(HLOOKUP(AQ!$D$14,$L$1:$AE$24,#REF!,FALSE)="","",HLOOKUP(AQ!$D$14,$L$1:$AE$24,#REF!,FALSE)))))</f>
        <v>Gas Meters</v>
      </c>
      <c r="B33" s="124"/>
      <c r="C33" s="124" t="s">
        <v>121</v>
      </c>
      <c r="D33" s="124" t="str">
        <f t="shared" si="0"/>
        <v>CSE GPS</v>
      </c>
      <c r="E33" s="124" t="str">
        <f t="shared" si="1"/>
        <v>GPS</v>
      </c>
      <c r="F33" s="124"/>
      <c r="G33" s="124"/>
      <c r="H33" s="124"/>
      <c r="I33" s="124">
        <f t="shared" si="4"/>
        <v>0</v>
      </c>
      <c r="J33" s="124" t="str">
        <v/>
      </c>
      <c r="K33" s="124"/>
      <c r="L33" s="124" t="str">
        <f>IF(AQ!$K$14="","",IF(AQ!$K$14=L8,$L$1,""))</f>
        <v/>
      </c>
      <c r="M33" s="124" t="str">
        <f>IF(AQ!$K$14="","",IF(AQ!$K$14=M8,$M$1,""))</f>
        <v/>
      </c>
      <c r="N33" s="124" t="str">
        <f>IF(AQ!$K$14="","",IF(AQ!$K$14=N8,$N$1,""))</f>
        <v/>
      </c>
      <c r="O33" s="124" t="str">
        <f>IF(AQ!$K$14="","",IF(AQ!$K$14=O8,$O$1,""))</f>
        <v/>
      </c>
      <c r="P33" s="124" t="str">
        <f>IF(AQ!$K$14="","",IF(AQ!$K$14=P8,$P$1,""))</f>
        <v/>
      </c>
      <c r="Q33" s="124" t="str">
        <f>IF(AQ!$K$14="","",IF(AQ!$K$14=Q8,$Q$1,""))</f>
        <v/>
      </c>
      <c r="R33" s="124" t="str">
        <f>IF(AQ!$K$14="","",IF(AQ!$K$14=R8,$R$1,""))</f>
        <v/>
      </c>
      <c r="S33" s="124" t="str">
        <f>IF(AQ!$K$14="","",IF(AQ!$K$14=S8,$S$1,""))</f>
        <v/>
      </c>
      <c r="T33" s="124" t="str">
        <f>IF(AQ!$K$14="","",IF(AQ!$K$14=T8,$T$1,""))</f>
        <v/>
      </c>
      <c r="U33" s="124" t="str">
        <f>IF(AQ!$K$14="","",IF(AQ!$K$14=U8,$U$1,""))</f>
        <v/>
      </c>
      <c r="V33" s="124" t="str">
        <f>IF(AQ!$K$14="","",IF(AQ!$K$14=V8,$V$1,""))</f>
        <v/>
      </c>
      <c r="W33" s="124" t="str">
        <f>IF(AQ!$K$14="","",IF(AQ!$K$14=W8,$W$1,""))</f>
        <v/>
      </c>
      <c r="X33" s="124" t="str">
        <f>IF(AQ!$K$14="","",IF(AQ!$K$14=X8,$X$1,""))</f>
        <v/>
      </c>
      <c r="Y33" s="124" t="str">
        <f>IF(AQ!$K$14="","",IF(AQ!$K$14=Y8,$Y$1,""))</f>
        <v/>
      </c>
      <c r="Z33" s="124" t="str">
        <f>IF(AQ!$K$14="","",IF(AQ!$K$14=Z8,$Z$1,""))</f>
        <v/>
      </c>
      <c r="AA33" s="124" t="str">
        <f>IF(AQ!$K$14="","",IF(AQ!$K$14=AA8,$AA$1,""))</f>
        <v/>
      </c>
      <c r="AB33" s="124" t="str">
        <f>IF(AQ!$K$14="","",IF(AQ!$K$14=AB8,$AB$1,""))</f>
        <v/>
      </c>
      <c r="AC33" s="124" t="str">
        <f>IF(AQ!$K$14="","",IF(AQ!$K$14=AC8,$AC$1,""))</f>
        <v/>
      </c>
      <c r="AD33" s="124" t="str">
        <f>IF(AQ!$K$14="","",IF(AQ!$K$14=AD8,$AD$1,""))</f>
        <v/>
      </c>
      <c r="AE33" s="124" t="str">
        <f>IF(AQ!$K$14="","",IF(AQ!$K$14=AE8,$AE$1,""))</f>
        <v/>
      </c>
      <c r="AF33" s="124" t="s">
        <v>641</v>
      </c>
      <c r="AG33" s="124" t="s">
        <v>645</v>
      </c>
      <c r="AH33" s="124" t="s">
        <v>643</v>
      </c>
      <c r="AI33" s="127" t="s">
        <v>189</v>
      </c>
    </row>
    <row r="34" spans="1:35" x14ac:dyDescent="0.3">
      <c r="A34" s="124" t="str">
        <f>IF(AND(AQ!$K$14="",AQ!$D$14=""),IF(DB!C33="","",DB!C33),IF(AQ!$D$14="",IF(DB!C33="","",DB!C33),IF(ISERROR(HLOOKUP(AQ!$D$14,$L$1:$AE$24,#REF!,FALSE)),"",IF(HLOOKUP(AQ!$D$14,$L$1:$AE$24,#REF!,FALSE)="","",HLOOKUP(AQ!$D$14,$L$1:$AE$24,#REF!,FALSE)))))</f>
        <v>GPS</v>
      </c>
      <c r="B34" s="124"/>
      <c r="C34" s="124" t="s">
        <v>128</v>
      </c>
      <c r="D34" s="124" t="str">
        <f t="shared" si="0"/>
        <v>CSE Ground Radars</v>
      </c>
      <c r="E34" s="124" t="str">
        <f t="shared" si="1"/>
        <v>Ground Radars</v>
      </c>
      <c r="F34" s="124"/>
      <c r="G34" s="124"/>
      <c r="H34" s="124"/>
      <c r="I34" s="124">
        <f t="shared" si="4"/>
        <v>0</v>
      </c>
      <c r="J34" s="124" t="str">
        <v/>
      </c>
      <c r="K34" s="124"/>
      <c r="L34" s="124" t="str">
        <f>IF(AQ!$K$14="","",IF(AQ!$K$14=L9,$L$1,""))</f>
        <v/>
      </c>
      <c r="M34" s="124" t="str">
        <f>IF(AQ!$K$14="","",IF(AQ!$K$14=M9,$M$1,""))</f>
        <v/>
      </c>
      <c r="N34" s="124" t="str">
        <f>IF(AQ!$K$14="","",IF(AQ!$K$14=N9,$N$1,""))</f>
        <v/>
      </c>
      <c r="O34" s="124" t="str">
        <f>IF(AQ!$K$14="","",IF(AQ!$K$14=O9,$O$1,""))</f>
        <v/>
      </c>
      <c r="P34" s="124" t="str">
        <f>IF(AQ!$K$14="","",IF(AQ!$K$14=P9,$P$1,""))</f>
        <v/>
      </c>
      <c r="Q34" s="124" t="str">
        <f>IF(AQ!$K$14="","",IF(AQ!$K$14=Q9,$Q$1,""))</f>
        <v/>
      </c>
      <c r="R34" s="124" t="str">
        <f>IF(AQ!$K$14="","",IF(AQ!$K$14=R9,$R$1,""))</f>
        <v/>
      </c>
      <c r="S34" s="124" t="str">
        <f>IF(AQ!$K$14="","",IF(AQ!$K$14=S9,$S$1,""))</f>
        <v/>
      </c>
      <c r="T34" s="124" t="str">
        <f>IF(AQ!$K$14="","",IF(AQ!$K$14=T9,$T$1,""))</f>
        <v/>
      </c>
      <c r="U34" s="124" t="str">
        <f>IF(AQ!$K$14="","",IF(AQ!$K$14=U9,$U$1,""))</f>
        <v/>
      </c>
      <c r="V34" s="124" t="str">
        <f>IF(AQ!$K$14="","",IF(AQ!$K$14=V9,$V$1,""))</f>
        <v/>
      </c>
      <c r="W34" s="124" t="str">
        <f>IF(AQ!$K$14="","",IF(AQ!$K$14=W9,$W$1,""))</f>
        <v/>
      </c>
      <c r="X34" s="124" t="str">
        <f>IF(AQ!$K$14="","",IF(AQ!$K$14=X9,$X$1,""))</f>
        <v/>
      </c>
      <c r="Y34" s="124" t="str">
        <f>IF(AQ!$K$14="","",IF(AQ!$K$14=Y9,$Y$1,""))</f>
        <v/>
      </c>
      <c r="Z34" s="124" t="str">
        <f>IF(AQ!$K$14="","",IF(AQ!$K$14=Z9,$Z$1,""))</f>
        <v/>
      </c>
      <c r="AA34" s="124" t="str">
        <f>IF(AQ!$K$14="","",IF(AQ!$K$14=AA9,$AA$1,""))</f>
        <v/>
      </c>
      <c r="AB34" s="124" t="str">
        <f>IF(AQ!$K$14="","",IF(AQ!$K$14=AB9,$AB$1,""))</f>
        <v/>
      </c>
      <c r="AC34" s="124" t="str">
        <f>IF(AQ!$K$14="","",IF(AQ!$K$14=AC9,$AC$1,""))</f>
        <v/>
      </c>
      <c r="AD34" s="124" t="str">
        <f>IF(AQ!$K$14="","",IF(AQ!$K$14=AD9,$AD$1,""))</f>
        <v/>
      </c>
      <c r="AE34" s="124" t="str">
        <f>IF(AQ!$K$14="","",IF(AQ!$K$14=AE9,$AE$1,""))</f>
        <v/>
      </c>
      <c r="AF34" s="124" t="s">
        <v>641</v>
      </c>
      <c r="AG34" s="124" t="s">
        <v>646</v>
      </c>
      <c r="AH34" s="124" t="s">
        <v>643</v>
      </c>
      <c r="AI34" s="127" t="s">
        <v>190</v>
      </c>
    </row>
    <row r="35" spans="1:35" x14ac:dyDescent="0.3">
      <c r="A35" s="124" t="str">
        <f>IF(AND(AQ!$K$14="",AQ!$D$14=""),IF(DB!C34="","",DB!C34),IF(AQ!$D$14="",IF(DB!C34="","",DB!C34),IF(ISERROR(HLOOKUP(AQ!$D$14,$L$1:$AE$24,#REF!,FALSE)),"",IF(HLOOKUP(AQ!$D$14,$L$1:$AE$24,#REF!,FALSE)="","",HLOOKUP(AQ!$D$14,$L$1:$AE$24,#REF!,FALSE)))))</f>
        <v>Ground Radars</v>
      </c>
      <c r="B35" s="124"/>
      <c r="C35" s="124" t="s">
        <v>139</v>
      </c>
      <c r="D35" s="124" t="str">
        <f t="shared" si="0"/>
        <v>CSE Heat Cost Allocators</v>
      </c>
      <c r="E35" s="124" t="str">
        <f t="shared" si="1"/>
        <v>Heat Cost Allocators</v>
      </c>
      <c r="F35" s="124"/>
      <c r="G35" s="124"/>
      <c r="H35" s="124"/>
      <c r="I35" s="124">
        <f t="shared" si="4"/>
        <v>0</v>
      </c>
      <c r="J35" s="124" t="str">
        <v/>
      </c>
      <c r="K35" s="124"/>
      <c r="L35" s="124" t="str">
        <f>IF(AQ!$K$14="","",IF(AQ!$K$14=L10,$L$1,""))</f>
        <v/>
      </c>
      <c r="M35" s="124" t="str">
        <f>IF(AQ!$K$14="","",IF(AQ!$K$14=M10,$M$1,""))</f>
        <v/>
      </c>
      <c r="N35" s="124" t="str">
        <f>IF(AQ!$K$14="","",IF(AQ!$K$14=N10,$N$1,""))</f>
        <v/>
      </c>
      <c r="O35" s="124" t="str">
        <f>IF(AQ!$K$14="","",IF(AQ!$K$14=O10,$O$1,""))</f>
        <v/>
      </c>
      <c r="P35" s="124" t="str">
        <f>IF(AQ!$K$14="","",IF(AQ!$K$14=P10,$P$1,""))</f>
        <v/>
      </c>
      <c r="Q35" s="124" t="str">
        <f>IF(AQ!$K$14="","",IF(AQ!$K$14=Q10,$Q$1,""))</f>
        <v/>
      </c>
      <c r="R35" s="124" t="str">
        <f>IF(AQ!$K$14="","",IF(AQ!$K$14=R10,$R$1,""))</f>
        <v/>
      </c>
      <c r="S35" s="124" t="str">
        <f>IF(AQ!$K$14="","",IF(AQ!$K$14=S10,$S$1,""))</f>
        <v/>
      </c>
      <c r="T35" s="124" t="str">
        <f>IF(AQ!$K$14="","",IF(AQ!$K$14=T10,$T$1,""))</f>
        <v/>
      </c>
      <c r="U35" s="124" t="str">
        <f>IF(AQ!$K$14="","",IF(AQ!$K$14=U10,$U$1,""))</f>
        <v/>
      </c>
      <c r="V35" s="124" t="str">
        <f>IF(AQ!$K$14="","",IF(AQ!$K$14=V10,$V$1,""))</f>
        <v/>
      </c>
      <c r="W35" s="124" t="str">
        <f>IF(AQ!$K$14="","",IF(AQ!$K$14=W10,$W$1,""))</f>
        <v/>
      </c>
      <c r="X35" s="124" t="str">
        <f>IF(AQ!$K$14="","",IF(AQ!$K$14=X10,$X$1,""))</f>
        <v/>
      </c>
      <c r="Y35" s="124" t="str">
        <f>IF(AQ!$K$14="","",IF(AQ!$K$14=Y10,$Y$1,""))</f>
        <v/>
      </c>
      <c r="Z35" s="124" t="str">
        <f>IF(AQ!$K$14="","",IF(AQ!$K$14=Z10,$Z$1,""))</f>
        <v/>
      </c>
      <c r="AA35" s="124" t="str">
        <f>IF(AQ!$K$14="","",IF(AQ!$K$14=AA10,$AA$1,""))</f>
        <v/>
      </c>
      <c r="AB35" s="124" t="str">
        <f>IF(AQ!$K$14="","",IF(AQ!$K$14=AB10,$AB$1,""))</f>
        <v/>
      </c>
      <c r="AC35" s="124" t="str">
        <f>IF(AQ!$K$14="","",IF(AQ!$K$14=AC10,$AC$1,""))</f>
        <v/>
      </c>
      <c r="AD35" s="124" t="str">
        <f>IF(AQ!$K$14="","",IF(AQ!$K$14=AD10,$AD$1,""))</f>
        <v/>
      </c>
      <c r="AE35" s="124" t="str">
        <f>IF(AQ!$K$14="","",IF(AQ!$K$14=AE10,$AE$1,""))</f>
        <v/>
      </c>
      <c r="AF35" s="124" t="s">
        <v>641</v>
      </c>
      <c r="AG35" s="124" t="s">
        <v>647</v>
      </c>
      <c r="AH35" s="124" t="s">
        <v>643</v>
      </c>
      <c r="AI35" s="127" t="s">
        <v>191</v>
      </c>
    </row>
    <row r="36" spans="1:35" x14ac:dyDescent="0.3">
      <c r="A36" s="124" t="str">
        <f>IF(AND(AQ!$K$14="",AQ!$D$14=""),IF(DB!C35="","",DB!C35),IF(AQ!$D$14="",IF(DB!C35="","",DB!C35),IF(ISERROR(HLOOKUP(AQ!$D$14,$L$1:$AE$24,#REF!,FALSE)),"",IF(HLOOKUP(AQ!$D$14,$L$1:$AE$24,#REF!,FALSE)="","",HLOOKUP(AQ!$D$14,$L$1:$AE$24,#REF!,FALSE)))))</f>
        <v>Heat Cost Allocators</v>
      </c>
      <c r="B36" s="124"/>
      <c r="C36" s="124" t="s">
        <v>601</v>
      </c>
      <c r="D36" s="124" t="str">
        <f t="shared" si="0"/>
        <v>CSE Heat Meter</v>
      </c>
      <c r="E36" s="124" t="str">
        <f t="shared" si="1"/>
        <v>Heat Meter</v>
      </c>
      <c r="F36" s="124"/>
      <c r="G36" s="124"/>
      <c r="H36" s="124"/>
      <c r="I36" s="124">
        <f t="shared" si="4"/>
        <v>0</v>
      </c>
      <c r="J36" s="124" t="str">
        <v/>
      </c>
      <c r="K36" s="124"/>
      <c r="L36" s="124" t="str">
        <f>IF(AQ!$K$14="","",IF(AQ!$K$14=L11,$L$1,""))</f>
        <v/>
      </c>
      <c r="M36" s="124" t="str">
        <f>IF(AQ!$K$14="","",IF(AQ!$K$14=M11,$M$1,""))</f>
        <v/>
      </c>
      <c r="N36" s="124" t="str">
        <f>IF(AQ!$K$14="","",IF(AQ!$K$14=N11,$N$1,""))</f>
        <v/>
      </c>
      <c r="O36" s="124" t="str">
        <f>IF(AQ!$K$14="","",IF(AQ!$K$14=O11,$O$1,""))</f>
        <v/>
      </c>
      <c r="P36" s="124" t="str">
        <f>IF(AQ!$K$14="","",IF(AQ!$K$14=P11,$P$1,""))</f>
        <v/>
      </c>
      <c r="Q36" s="124" t="str">
        <f>IF(AQ!$K$14="","",IF(AQ!$K$14=Q11,$Q$1,""))</f>
        <v/>
      </c>
      <c r="R36" s="124" t="str">
        <f>IF(AQ!$K$14="","",IF(AQ!$K$14=R11,$R$1,""))</f>
        <v/>
      </c>
      <c r="S36" s="124" t="str">
        <f>IF(AQ!$K$14="","",IF(AQ!$K$14=S11,$S$1,""))</f>
        <v/>
      </c>
      <c r="T36" s="124" t="str">
        <f>IF(AQ!$K$14="","",IF(AQ!$K$14=T11,$T$1,""))</f>
        <v/>
      </c>
      <c r="U36" s="124" t="str">
        <f>IF(AQ!$K$14="","",IF(AQ!$K$14=U11,$U$1,""))</f>
        <v/>
      </c>
      <c r="V36" s="124" t="str">
        <f>IF(AQ!$K$14="","",IF(AQ!$K$14=V11,$V$1,""))</f>
        <v/>
      </c>
      <c r="W36" s="124" t="str">
        <f>IF(AQ!$K$14="","",IF(AQ!$K$14=W11,$W$1,""))</f>
        <v/>
      </c>
      <c r="X36" s="124" t="str">
        <f>IF(AQ!$K$14="","",IF(AQ!$K$14=X11,$X$1,""))</f>
        <v/>
      </c>
      <c r="Y36" s="124" t="str">
        <f>IF(AQ!$K$14="","",IF(AQ!$K$14=Y11,$Y$1,""))</f>
        <v/>
      </c>
      <c r="Z36" s="124" t="str">
        <f>IF(AQ!$K$14="","",IF(AQ!$K$14=Z11,$Z$1,""))</f>
        <v/>
      </c>
      <c r="AA36" s="124" t="str">
        <f>IF(AQ!$K$14="","",IF(AQ!$K$14=AA11,$AA$1,""))</f>
        <v/>
      </c>
      <c r="AB36" s="124" t="str">
        <f>IF(AQ!$K$14="","",IF(AQ!$K$14=AB11,$AB$1,""))</f>
        <v/>
      </c>
      <c r="AC36" s="124" t="str">
        <f>IF(AQ!$K$14="","",IF(AQ!$K$14=AC11,$AC$1,""))</f>
        <v/>
      </c>
      <c r="AD36" s="124" t="str">
        <f>IF(AQ!$K$14="","",IF(AQ!$K$14=AD11,$AD$1,""))</f>
        <v/>
      </c>
      <c r="AE36" s="124" t="str">
        <f>IF(AQ!$K$14="","",IF(AQ!$K$14=AE11,$AE$1,""))</f>
        <v/>
      </c>
      <c r="AF36" s="124" t="s">
        <v>641</v>
      </c>
      <c r="AG36" s="124" t="s">
        <v>648</v>
      </c>
      <c r="AH36" s="124" t="s">
        <v>643</v>
      </c>
      <c r="AI36" s="127" t="s">
        <v>192</v>
      </c>
    </row>
    <row r="37" spans="1:35" x14ac:dyDescent="0.3">
      <c r="A37" s="124" t="str">
        <f>IF(AND(AQ!$K$14="",AQ!$D$14=""),IF(DB!C36="","",DB!C36),IF(AQ!$D$14="",IF(DB!C36="","",DB!C36),IF(ISERROR(HLOOKUP(AQ!$D$14,$L$1:$AE$24,#REF!,FALSE)),"",IF(HLOOKUP(AQ!$D$14,$L$1:$AE$24,#REF!,FALSE)="","",HLOOKUP(AQ!$D$14,$L$1:$AE$24,#REF!,FALSE)))))</f>
        <v>Heat Meter</v>
      </c>
      <c r="B37" s="124"/>
      <c r="C37" s="124" t="s">
        <v>587</v>
      </c>
      <c r="D37" s="124" t="str">
        <f t="shared" si="0"/>
        <v>CSE Humidity monitoring</v>
      </c>
      <c r="E37" s="124" t="str">
        <f t="shared" si="1"/>
        <v>Humidity monitoring</v>
      </c>
      <c r="F37" s="124"/>
      <c r="G37" s="124"/>
      <c r="H37" s="124"/>
      <c r="I37" s="124">
        <f t="shared" si="4"/>
        <v>0</v>
      </c>
      <c r="J37" s="124" t="str">
        <v/>
      </c>
      <c r="K37" s="124"/>
      <c r="L37" s="124" t="str">
        <f>IF(AQ!$K$14="","",IF(AQ!$K$14=L12,$L$1,""))</f>
        <v/>
      </c>
      <c r="M37" s="124" t="str">
        <f>IF(AQ!$K$14="","",IF(AQ!$K$14=M12,$M$1,""))</f>
        <v/>
      </c>
      <c r="N37" s="124" t="str">
        <f>IF(AQ!$K$14="","",IF(AQ!$K$14=N12,$N$1,""))</f>
        <v/>
      </c>
      <c r="O37" s="124" t="str">
        <f>IF(AQ!$K$14="","",IF(AQ!$K$14=O12,$O$1,""))</f>
        <v/>
      </c>
      <c r="P37" s="124" t="str">
        <f>IF(AQ!$K$14="","",IF(AQ!$K$14=P12,$P$1,""))</f>
        <v/>
      </c>
      <c r="Q37" s="124" t="str">
        <f>IF(AQ!$K$14="","",IF(AQ!$K$14=Q12,$Q$1,""))</f>
        <v/>
      </c>
      <c r="R37" s="124" t="str">
        <f>IF(AQ!$K$14="","",IF(AQ!$K$14=R12,$R$1,""))</f>
        <v/>
      </c>
      <c r="S37" s="124" t="str">
        <f>IF(AQ!$K$14="","",IF(AQ!$K$14=S12,$S$1,""))</f>
        <v/>
      </c>
      <c r="T37" s="124" t="str">
        <f>IF(AQ!$K$14="","",IF(AQ!$K$14=T12,$T$1,""))</f>
        <v/>
      </c>
      <c r="U37" s="124" t="str">
        <f>IF(AQ!$K$14="","",IF(AQ!$K$14=U12,$U$1,""))</f>
        <v/>
      </c>
      <c r="V37" s="124" t="str">
        <f>IF(AQ!$K$14="","",IF(AQ!$K$14=V12,$V$1,""))</f>
        <v/>
      </c>
      <c r="W37" s="124" t="str">
        <f>IF(AQ!$K$14="","",IF(AQ!$K$14=W12,$W$1,""))</f>
        <v/>
      </c>
      <c r="X37" s="124" t="str">
        <f>IF(AQ!$K$14="","",IF(AQ!$K$14=X12,$X$1,""))</f>
        <v/>
      </c>
      <c r="Y37" s="124" t="str">
        <f>IF(AQ!$K$14="","",IF(AQ!$K$14=Y12,$Y$1,""))</f>
        <v/>
      </c>
      <c r="Z37" s="124" t="str">
        <f>IF(AQ!$K$14="","",IF(AQ!$K$14=Z12,$Z$1,""))</f>
        <v/>
      </c>
      <c r="AA37" s="124" t="str">
        <f>IF(AQ!$K$14="","",IF(AQ!$K$14=AA12,$AA$1,""))</f>
        <v/>
      </c>
      <c r="AB37" s="124" t="str">
        <f>IF(AQ!$K$14="","",IF(AQ!$K$14=AB12,$AB$1,""))</f>
        <v/>
      </c>
      <c r="AC37" s="124" t="str">
        <f>IF(AQ!$K$14="","",IF(AQ!$K$14=AC12,$AC$1,""))</f>
        <v/>
      </c>
      <c r="AD37" s="124" t="str">
        <f>IF(AQ!$K$14="","",IF(AQ!$K$14=AD12,$AD$1,""))</f>
        <v/>
      </c>
      <c r="AE37" s="124" t="str">
        <f>IF(AQ!$K$14="","",IF(AQ!$K$14=AE12,$AE$1,""))</f>
        <v/>
      </c>
      <c r="AF37" s="124" t="s">
        <v>641</v>
      </c>
      <c r="AG37" s="124" t="s">
        <v>649</v>
      </c>
      <c r="AH37" s="124" t="s">
        <v>643</v>
      </c>
      <c r="AI37" s="127" t="s">
        <v>193</v>
      </c>
    </row>
    <row r="38" spans="1:35" x14ac:dyDescent="0.3">
      <c r="A38" s="124" t="str">
        <f>IF(AND(AQ!$K$14="",AQ!$D$14=""),IF(DB!C37="","",DB!C37),IF(AQ!$D$14="",IF(DB!C37="","",DB!C37),IF(ISERROR(HLOOKUP(AQ!$D$14,$L$1:$AE$24,#REF!,FALSE)),"",IF(HLOOKUP(AQ!$D$14,$L$1:$AE$24,#REF!,FALSE)="","",HLOOKUP(AQ!$D$14,$L$1:$AE$24,#REF!,FALSE)))))</f>
        <v>Humidity monitoring</v>
      </c>
      <c r="B38" s="124"/>
      <c r="C38" s="124" t="s">
        <v>117</v>
      </c>
      <c r="D38" s="124" t="str">
        <f t="shared" si="0"/>
        <v>CSE Industrial Robots</v>
      </c>
      <c r="E38" s="124" t="str">
        <f t="shared" si="1"/>
        <v>Industrial Robots</v>
      </c>
      <c r="F38" s="124"/>
      <c r="G38" s="124"/>
      <c r="H38" s="124"/>
      <c r="I38" s="124">
        <f t="shared" si="4"/>
        <v>0</v>
      </c>
      <c r="J38" s="124" t="str">
        <v/>
      </c>
      <c r="K38" s="124"/>
      <c r="L38" s="124" t="str">
        <f>IF(AQ!$K$14="","",IF(AQ!$K$14=L13,$L$1,""))</f>
        <v/>
      </c>
      <c r="M38" s="124" t="str">
        <f>IF(AQ!$K$14="","",IF(AQ!$K$14=M13,$M$1,""))</f>
        <v/>
      </c>
      <c r="N38" s="124" t="str">
        <f>IF(AQ!$K$14="","",IF(AQ!$K$14=N13,$N$1,""))</f>
        <v/>
      </c>
      <c r="O38" s="124" t="str">
        <f>IF(AQ!$K$14="","",IF(AQ!$K$14=O13,$O$1,""))</f>
        <v/>
      </c>
      <c r="P38" s="124" t="str">
        <f>IF(AQ!$K$14="","",IF(AQ!$K$14=P13,$P$1,""))</f>
        <v/>
      </c>
      <c r="Q38" s="124" t="str">
        <f>IF(AQ!$K$14="","",IF(AQ!$K$14=Q13,$Q$1,""))</f>
        <v/>
      </c>
      <c r="R38" s="124" t="str">
        <f>IF(AQ!$K$14="","",IF(AQ!$K$14=R13,$R$1,""))</f>
        <v/>
      </c>
      <c r="S38" s="124" t="str">
        <f>IF(AQ!$K$14="","",IF(AQ!$K$14=S13,$S$1,""))</f>
        <v/>
      </c>
      <c r="T38" s="124" t="str">
        <f>IF(AQ!$K$14="","",IF(AQ!$K$14=T13,$T$1,""))</f>
        <v/>
      </c>
      <c r="U38" s="124" t="str">
        <f>IF(AQ!$K$14="","",IF(AQ!$K$14=U13,$U$1,""))</f>
        <v/>
      </c>
      <c r="V38" s="124" t="str">
        <f>IF(AQ!$K$14="","",IF(AQ!$K$14=V13,$V$1,""))</f>
        <v/>
      </c>
      <c r="W38" s="124" t="str">
        <f>IF(AQ!$K$14="","",IF(AQ!$K$14=W13,$W$1,""))</f>
        <v/>
      </c>
      <c r="X38" s="124" t="str">
        <f>IF(AQ!$K$14="","",IF(AQ!$K$14=X13,$X$1,""))</f>
        <v/>
      </c>
      <c r="Y38" s="124" t="str">
        <f>IF(AQ!$K$14="","",IF(AQ!$K$14=Y13,$Y$1,""))</f>
        <v/>
      </c>
      <c r="Z38" s="124" t="str">
        <f>IF(AQ!$K$14="","",IF(AQ!$K$14=Z13,$Z$1,""))</f>
        <v/>
      </c>
      <c r="AA38" s="124" t="str">
        <f>IF(AQ!$K$14="","",IF(AQ!$K$14=AA13,$AA$1,""))</f>
        <v/>
      </c>
      <c r="AB38" s="124" t="str">
        <f>IF(AQ!$K$14="","",IF(AQ!$K$14=AB13,$AB$1,""))</f>
        <v/>
      </c>
      <c r="AC38" s="124" t="str">
        <f>IF(AQ!$K$14="","",IF(AQ!$K$14=AC13,$AC$1,""))</f>
        <v/>
      </c>
      <c r="AD38" s="124" t="str">
        <f>IF(AQ!$K$14="","",IF(AQ!$K$14=AD13,$AD$1,""))</f>
        <v/>
      </c>
      <c r="AE38" s="124" t="str">
        <f>IF(AQ!$K$14="","",IF(AQ!$K$14=AE13,$AE$1,""))</f>
        <v/>
      </c>
      <c r="AF38" s="124" t="s">
        <v>641</v>
      </c>
      <c r="AG38" s="124" t="s">
        <v>633</v>
      </c>
      <c r="AH38" s="124" t="s">
        <v>643</v>
      </c>
      <c r="AI38" s="127" t="s">
        <v>194</v>
      </c>
    </row>
    <row r="39" spans="1:35" x14ac:dyDescent="0.3">
      <c r="A39" s="124" t="str">
        <f>IF(AND(AQ!$K$14="",AQ!$D$14=""),IF(DB!C38="","",DB!C38),IF(AQ!$D$14="",IF(DB!C38="","",DB!C38),IF(ISERROR(HLOOKUP(AQ!$D$14,$L$1:$AE$24,#REF!,FALSE)),"",IF(HLOOKUP(AQ!$D$14,$L$1:$AE$24,#REF!,FALSE)="","",HLOOKUP(AQ!$D$14,$L$1:$AE$24,#REF!,FALSE)))))</f>
        <v>Industrial Robots</v>
      </c>
      <c r="B39" s="124"/>
      <c r="C39" s="124" t="s">
        <v>120</v>
      </c>
      <c r="D39" s="124" t="str">
        <f t="shared" si="0"/>
        <v>CSE Infusion Pumps</v>
      </c>
      <c r="E39" s="124" t="str">
        <f t="shared" si="1"/>
        <v>Infusion Pumps</v>
      </c>
      <c r="F39" s="124"/>
      <c r="G39" s="124"/>
      <c r="H39" s="124"/>
      <c r="I39" s="124">
        <f t="shared" si="4"/>
        <v>0</v>
      </c>
      <c r="J39" s="124" t="str">
        <v/>
      </c>
      <c r="K39" s="124"/>
      <c r="L39" s="124" t="str">
        <f>IF(AQ!$K$14="","",IF(AQ!$K$14=L14,$L$1,""))</f>
        <v/>
      </c>
      <c r="M39" s="124" t="str">
        <f>IF(AQ!$K$14="","",IF(AQ!$K$14=M14,$M$1,""))</f>
        <v/>
      </c>
      <c r="N39" s="124" t="str">
        <f>IF(AQ!$K$14="","",IF(AQ!$K$14=N14,$N$1,""))</f>
        <v/>
      </c>
      <c r="O39" s="124" t="str">
        <f>IF(AQ!$K$14="","",IF(AQ!$K$14=O14,$O$1,""))</f>
        <v/>
      </c>
      <c r="P39" s="124" t="str">
        <f>IF(AQ!$K$14="","",IF(AQ!$K$14=P14,$P$1,""))</f>
        <v/>
      </c>
      <c r="Q39" s="124" t="str">
        <f>IF(AQ!$K$14="","",IF(AQ!$K$14=Q14,$Q$1,""))</f>
        <v/>
      </c>
      <c r="R39" s="124" t="str">
        <f>IF(AQ!$K$14="","",IF(AQ!$K$14=R14,$R$1,""))</f>
        <v/>
      </c>
      <c r="S39" s="124" t="str">
        <f>IF(AQ!$K$14="","",IF(AQ!$K$14=S14,$S$1,""))</f>
        <v/>
      </c>
      <c r="T39" s="124" t="str">
        <f>IF(AQ!$K$14="","",IF(AQ!$K$14=T14,$T$1,""))</f>
        <v/>
      </c>
      <c r="U39" s="124" t="str">
        <f>IF(AQ!$K$14="","",IF(AQ!$K$14=U14,$U$1,""))</f>
        <v/>
      </c>
      <c r="V39" s="124" t="str">
        <f>IF(AQ!$K$14="","",IF(AQ!$K$14=V14,$V$1,""))</f>
        <v/>
      </c>
      <c r="W39" s="124" t="str">
        <f>IF(AQ!$K$14="","",IF(AQ!$K$14=W14,$W$1,""))</f>
        <v/>
      </c>
      <c r="X39" s="124" t="str">
        <f>IF(AQ!$K$14="","",IF(AQ!$K$14=X14,$X$1,""))</f>
        <v/>
      </c>
      <c r="Y39" s="124" t="str">
        <f>IF(AQ!$K$14="","",IF(AQ!$K$14=Y14,$Y$1,""))</f>
        <v/>
      </c>
      <c r="Z39" s="124" t="str">
        <f>IF(AQ!$K$14="","",IF(AQ!$K$14=Z14,$Z$1,""))</f>
        <v/>
      </c>
      <c r="AA39" s="124" t="str">
        <f>IF(AQ!$K$14="","",IF(AQ!$K$14=AA14,$AA$1,""))</f>
        <v/>
      </c>
      <c r="AB39" s="124" t="str">
        <f>IF(AQ!$K$14="","",IF(AQ!$K$14=AB14,$AB$1,""))</f>
        <v/>
      </c>
      <c r="AC39" s="124" t="str">
        <f>IF(AQ!$K$14="","",IF(AQ!$K$14=AC14,$AC$1,""))</f>
        <v/>
      </c>
      <c r="AD39" s="124" t="str">
        <f>IF(AQ!$K$14="","",IF(AQ!$K$14=AD14,$AD$1,""))</f>
        <v/>
      </c>
      <c r="AE39" s="124" t="str">
        <f>IF(AQ!$K$14="","",IF(AQ!$K$14=AE14,$AE$1,""))</f>
        <v/>
      </c>
      <c r="AF39" s="124" t="s">
        <v>641</v>
      </c>
      <c r="AG39" s="124" t="s">
        <v>650</v>
      </c>
      <c r="AH39" s="124" t="s">
        <v>643</v>
      </c>
      <c r="AI39" s="127" t="s">
        <v>195</v>
      </c>
    </row>
    <row r="40" spans="1:35" x14ac:dyDescent="0.3">
      <c r="A40" s="124" t="str">
        <f>IF(AND(AQ!$K$14="",AQ!$D$14=""),IF(DB!C39="","",DB!C39),IF(AQ!$D$14="",IF(DB!C39="","",DB!C39),IF(ISERROR(HLOOKUP(AQ!$D$14,$L$1:$AE$24,#REF!,FALSE)),"",IF(HLOOKUP(AQ!$D$14,$L$1:$AE$24,#REF!,FALSE)="","",HLOOKUP(AQ!$D$14,$L$1:$AE$24,#REF!,FALSE)))))</f>
        <v>Infusion Pumps</v>
      </c>
      <c r="B40" s="124"/>
      <c r="C40" s="124" t="s">
        <v>591</v>
      </c>
      <c r="D40" s="124" t="str">
        <f t="shared" si="0"/>
        <v>CSE Isolated worker tracking</v>
      </c>
      <c r="E40" s="124" t="str">
        <f t="shared" si="1"/>
        <v>Isolated worker tracking</v>
      </c>
      <c r="F40" s="124"/>
      <c r="G40" s="124"/>
      <c r="H40" s="124"/>
      <c r="I40" s="124">
        <f t="shared" si="4"/>
        <v>0</v>
      </c>
      <c r="J40" s="124" t="str">
        <v/>
      </c>
      <c r="K40" s="124"/>
      <c r="L40" s="124" t="str">
        <f>IF(AQ!$K$14="","",IF(AQ!$K$14=L15,$L$1,""))</f>
        <v/>
      </c>
      <c r="M40" s="124" t="str">
        <f>IF(AQ!$K$14="","",IF(AQ!$K$14=M15,$M$1,""))</f>
        <v/>
      </c>
      <c r="N40" s="124" t="str">
        <f>IF(AQ!$K$14="","",IF(AQ!$K$14=N15,$N$1,""))</f>
        <v/>
      </c>
      <c r="O40" s="124" t="str">
        <f>IF(AQ!$K$14="","",IF(AQ!$K$14=O15,$O$1,""))</f>
        <v/>
      </c>
      <c r="P40" s="124" t="str">
        <f>IF(AQ!$K$14="","",IF(AQ!$K$14=P15,$P$1,""))</f>
        <v/>
      </c>
      <c r="Q40" s="124" t="str">
        <f>IF(AQ!$K$14="","",IF(AQ!$K$14=Q15,$Q$1,""))</f>
        <v/>
      </c>
      <c r="R40" s="124" t="str">
        <f>IF(AQ!$K$14="","",IF(AQ!$K$14=R15,$R$1,""))</f>
        <v/>
      </c>
      <c r="S40" s="124" t="str">
        <f>IF(AQ!$K$14="","",IF(AQ!$K$14=S15,$S$1,""))</f>
        <v/>
      </c>
      <c r="T40" s="124" t="str">
        <f>IF(AQ!$K$14="","",IF(AQ!$K$14=T15,$T$1,""))</f>
        <v/>
      </c>
      <c r="U40" s="124" t="str">
        <f>IF(AQ!$K$14="","",IF(AQ!$K$14=U15,$U$1,""))</f>
        <v/>
      </c>
      <c r="V40" s="124" t="str">
        <f>IF(AQ!$K$14="","",IF(AQ!$K$14=V15,$V$1,""))</f>
        <v/>
      </c>
      <c r="W40" s="124" t="str">
        <f>IF(AQ!$K$14="","",IF(AQ!$K$14=W15,$W$1,""))</f>
        <v/>
      </c>
      <c r="X40" s="124" t="str">
        <f>IF(AQ!$K$14="","",IF(AQ!$K$14=X15,$X$1,""))</f>
        <v/>
      </c>
      <c r="Y40" s="124" t="str">
        <f>IF(AQ!$K$14="","",IF(AQ!$K$14=Y15,$Y$1,""))</f>
        <v/>
      </c>
      <c r="Z40" s="124" t="str">
        <f>IF(AQ!$K$14="","",IF(AQ!$K$14=Z15,$Z$1,""))</f>
        <v/>
      </c>
      <c r="AA40" s="124" t="str">
        <f>IF(AQ!$K$14="","",IF(AQ!$K$14=AA15,$AA$1,""))</f>
        <v/>
      </c>
      <c r="AB40" s="124" t="str">
        <f>IF(AQ!$K$14="","",IF(AQ!$K$14=AB15,$AB$1,""))</f>
        <v/>
      </c>
      <c r="AC40" s="124" t="str">
        <f>IF(AQ!$K$14="","",IF(AQ!$K$14=AC15,$AC$1,""))</f>
        <v/>
      </c>
      <c r="AD40" s="124" t="str">
        <f>IF(AQ!$K$14="","",IF(AQ!$K$14=AD15,$AD$1,""))</f>
        <v/>
      </c>
      <c r="AE40" s="124" t="str">
        <f>IF(AQ!$K$14="","",IF(AQ!$K$14=AE15,$AE$1,""))</f>
        <v/>
      </c>
      <c r="AF40" s="124" t="s">
        <v>641</v>
      </c>
      <c r="AG40" s="124" t="s">
        <v>616</v>
      </c>
      <c r="AH40" s="124" t="s">
        <v>643</v>
      </c>
      <c r="AI40" s="127" t="s">
        <v>196</v>
      </c>
    </row>
    <row r="41" spans="1:35" x14ac:dyDescent="0.3">
      <c r="A41" s="124" t="str">
        <f>IF(AND(AQ!$K$14="",AQ!$D$14=""),IF(DB!C40="","",DB!C40),IF(AQ!$D$14="",IF(DB!C40="","",DB!C40),IF(ISERROR(HLOOKUP(AQ!$D$14,$L$1:$AE$24,#REF!,FALSE)),"",IF(HLOOKUP(AQ!$D$14,$L$1:$AE$24,#REF!,FALSE)="","",HLOOKUP(AQ!$D$14,$L$1:$AE$24,#REF!,FALSE)))))</f>
        <v>Isolated worker tracking</v>
      </c>
      <c r="B41" s="124"/>
      <c r="C41" s="124" t="s">
        <v>134</v>
      </c>
      <c r="D41" s="124" t="str">
        <f t="shared" si="0"/>
        <v>CSE Lamps</v>
      </c>
      <c r="E41" s="124" t="str">
        <f t="shared" si="1"/>
        <v>Lamps</v>
      </c>
      <c r="F41" s="124"/>
      <c r="G41" s="124"/>
      <c r="H41" s="124"/>
      <c r="I41" s="124">
        <f t="shared" si="4"/>
        <v>0</v>
      </c>
      <c r="J41" s="124" t="str">
        <v/>
      </c>
      <c r="K41" s="124"/>
      <c r="L41" s="124" t="str">
        <f>IF(AQ!$K$14="","",IF(AQ!$K$14=L16,$L$1,""))</f>
        <v/>
      </c>
      <c r="M41" s="124" t="str">
        <f>IF(AQ!$K$14="","",IF(AQ!$K$14=M16,$M$1,""))</f>
        <v/>
      </c>
      <c r="N41" s="124" t="str">
        <f>IF(AQ!$K$14="","",IF(AQ!$K$14=N16,$N$1,""))</f>
        <v/>
      </c>
      <c r="O41" s="124" t="str">
        <f>IF(AQ!$K$14="","",IF(AQ!$K$14=O16,$O$1,""))</f>
        <v/>
      </c>
      <c r="P41" s="124" t="str">
        <f>IF(AQ!$K$14="","",IF(AQ!$K$14=P16,$P$1,""))</f>
        <v/>
      </c>
      <c r="Q41" s="124" t="str">
        <f>IF(AQ!$K$14="","",IF(AQ!$K$14=Q16,$Q$1,""))</f>
        <v/>
      </c>
      <c r="R41" s="124" t="str">
        <f>IF(AQ!$K$14="","",IF(AQ!$K$14=R16,$R$1,""))</f>
        <v/>
      </c>
      <c r="S41" s="124" t="str">
        <f>IF(AQ!$K$14="","",IF(AQ!$K$14=S16,$S$1,""))</f>
        <v/>
      </c>
      <c r="T41" s="124" t="str">
        <f>IF(AQ!$K$14="","",IF(AQ!$K$14=T16,$T$1,""))</f>
        <v/>
      </c>
      <c r="U41" s="124" t="str">
        <f>IF(AQ!$K$14="","",IF(AQ!$K$14=U16,$U$1,""))</f>
        <v/>
      </c>
      <c r="V41" s="124" t="str">
        <f>IF(AQ!$K$14="","",IF(AQ!$K$14=V16,$V$1,""))</f>
        <v/>
      </c>
      <c r="W41" s="124" t="str">
        <f>IF(AQ!$K$14="","",IF(AQ!$K$14=W16,$W$1,""))</f>
        <v/>
      </c>
      <c r="X41" s="124" t="str">
        <f>IF(AQ!$K$14="","",IF(AQ!$K$14=X16,$X$1,""))</f>
        <v/>
      </c>
      <c r="Y41" s="124" t="str">
        <f>IF(AQ!$K$14="","",IF(AQ!$K$14=Y16,$Y$1,""))</f>
        <v/>
      </c>
      <c r="Z41" s="124" t="str">
        <f>IF(AQ!$K$14="","",IF(AQ!$K$14=Z16,$Z$1,""))</f>
        <v/>
      </c>
      <c r="AA41" s="124" t="str">
        <f>IF(AQ!$K$14="","",IF(AQ!$K$14=AA16,$AA$1,""))</f>
        <v/>
      </c>
      <c r="AB41" s="124" t="str">
        <f>IF(AQ!$K$14="","",IF(AQ!$K$14=AB16,$AB$1,""))</f>
        <v/>
      </c>
      <c r="AC41" s="124" t="str">
        <f>IF(AQ!$K$14="","",IF(AQ!$K$14=AC16,$AC$1,""))</f>
        <v/>
      </c>
      <c r="AD41" s="124" t="str">
        <f>IF(AQ!$K$14="","",IF(AQ!$K$14=AD16,$AD$1,""))</f>
        <v/>
      </c>
      <c r="AE41" s="124" t="str">
        <f>IF(AQ!$K$14="","",IF(AQ!$K$14=AE16,$AE$1,""))</f>
        <v/>
      </c>
      <c r="AF41" s="124" t="s">
        <v>641</v>
      </c>
      <c r="AG41" s="124" t="s">
        <v>651</v>
      </c>
      <c r="AH41" s="124" t="s">
        <v>643</v>
      </c>
      <c r="AI41" s="127" t="s">
        <v>197</v>
      </c>
    </row>
    <row r="42" spans="1:35" x14ac:dyDescent="0.3">
      <c r="A42" s="124" t="str">
        <f>IF(AND(AQ!$K$14="",AQ!$D$14=""),IF(DB!C41="","",DB!C41),IF(AQ!$D$14="",IF(DB!C41="","",DB!C41),IF(ISERROR(HLOOKUP(AQ!$D$14,$L$1:$AE$24,#REF!,FALSE)),"",IF(HLOOKUP(AQ!$D$14,$L$1:$AE$24,#REF!,FALSE)="","",HLOOKUP(AQ!$D$14,$L$1:$AE$24,#REF!,FALSE)))))</f>
        <v>Lamps</v>
      </c>
      <c r="B42" s="124"/>
      <c r="C42" s="124" t="s">
        <v>142</v>
      </c>
      <c r="D42" s="124" t="str">
        <f t="shared" si="0"/>
        <v>CSE Laser</v>
      </c>
      <c r="E42" s="124" t="str">
        <f t="shared" si="1"/>
        <v>Laser</v>
      </c>
      <c r="F42" s="124"/>
      <c r="G42" s="124"/>
      <c r="H42" s="124"/>
      <c r="I42" s="124">
        <f t="shared" si="4"/>
        <v>0</v>
      </c>
      <c r="J42" s="124" t="str" cm="1">
        <f t="array" ref="J42:J61">TRANSPOSE(L29:AE29)</f>
        <v/>
      </c>
      <c r="K42" s="124"/>
      <c r="L42" s="124" t="str">
        <f>IF(AQ!$K$14="","",IF(AQ!$K$14=L17,$L$1,""))</f>
        <v/>
      </c>
      <c r="M42" s="124" t="str">
        <f>IF(AQ!$K$14="","",IF(AQ!$K$14=M17,$M$1,""))</f>
        <v/>
      </c>
      <c r="N42" s="124" t="str">
        <f>IF(AQ!$K$14="","",IF(AQ!$K$14=N17,$N$1,""))</f>
        <v/>
      </c>
      <c r="O42" s="124" t="str">
        <f>IF(AQ!$K$14="","",IF(AQ!$K$14=O17,$O$1,""))</f>
        <v/>
      </c>
      <c r="P42" s="124" t="str">
        <f>IF(AQ!$K$14="","",IF(AQ!$K$14=P17,$P$1,""))</f>
        <v/>
      </c>
      <c r="Q42" s="124" t="str">
        <f>IF(AQ!$K$14="","",IF(AQ!$K$14=Q17,$Q$1,""))</f>
        <v/>
      </c>
      <c r="R42" s="124" t="str">
        <f>IF(AQ!$K$14="","",IF(AQ!$K$14=R17,$R$1,""))</f>
        <v/>
      </c>
      <c r="S42" s="124" t="str">
        <f>IF(AQ!$K$14="","",IF(AQ!$K$14=S17,$S$1,""))</f>
        <v/>
      </c>
      <c r="T42" s="124" t="str">
        <f>IF(AQ!$K$14="","",IF(AQ!$K$14=T17,$T$1,""))</f>
        <v/>
      </c>
      <c r="U42" s="124" t="str">
        <f>IF(AQ!$K$14="","",IF(AQ!$K$14=U17,$U$1,""))</f>
        <v/>
      </c>
      <c r="V42" s="124" t="str">
        <f>IF(AQ!$K$14="","",IF(AQ!$K$14=V17,$V$1,""))</f>
        <v/>
      </c>
      <c r="W42" s="124" t="str">
        <f>IF(AQ!$K$14="","",IF(AQ!$K$14=W17,$W$1,""))</f>
        <v/>
      </c>
      <c r="X42" s="124" t="str">
        <f>IF(AQ!$K$14="","",IF(AQ!$K$14=X17,$X$1,""))</f>
        <v/>
      </c>
      <c r="Y42" s="124" t="str">
        <f>IF(AQ!$K$14="","",IF(AQ!$K$14=Y17,$Y$1,""))</f>
        <v/>
      </c>
      <c r="Z42" s="124" t="str">
        <f>IF(AQ!$K$14="","",IF(AQ!$K$14=Z17,$Z$1,""))</f>
        <v/>
      </c>
      <c r="AA42" s="124" t="str">
        <f>IF(AQ!$K$14="","",IF(AQ!$K$14=AA17,$AA$1,""))</f>
        <v/>
      </c>
      <c r="AB42" s="124" t="str">
        <f>IF(AQ!$K$14="","",IF(AQ!$K$14=AB17,$AB$1,""))</f>
        <v/>
      </c>
      <c r="AC42" s="124" t="str">
        <f>IF(AQ!$K$14="","",IF(AQ!$K$14=AC17,$AC$1,""))</f>
        <v/>
      </c>
      <c r="AD42" s="124" t="str">
        <f>IF(AQ!$K$14="","",IF(AQ!$K$14=AD17,$AD$1,""))</f>
        <v/>
      </c>
      <c r="AE42" s="124" t="str">
        <f>IF(AQ!$K$14="","",IF(AQ!$K$14=AE17,$AE$1,""))</f>
        <v/>
      </c>
      <c r="AF42" s="124" t="s">
        <v>641</v>
      </c>
      <c r="AG42" s="124" t="s">
        <v>652</v>
      </c>
      <c r="AH42" s="124" t="s">
        <v>643</v>
      </c>
      <c r="AI42" s="127" t="s">
        <v>198</v>
      </c>
    </row>
    <row r="43" spans="1:35" x14ac:dyDescent="0.3">
      <c r="A43" s="124" t="str">
        <f>IF(AND(AQ!$K$14="",AQ!$D$14=""),IF(DB!C42="","",DB!C42),IF(AQ!$D$14="",IF(DB!C42="","",DB!C42),IF(ISERROR(HLOOKUP(AQ!$D$14,$L$1:$AE$24,#REF!,FALSE)),"",IF(HLOOKUP(AQ!$D$14,$L$1:$AE$24,#REF!,FALSE)="","",HLOOKUP(AQ!$D$14,$L$1:$AE$24,#REF!,FALSE)))))</f>
        <v>Laser</v>
      </c>
      <c r="B43" s="124"/>
      <c r="C43" s="124" t="s">
        <v>126</v>
      </c>
      <c r="D43" s="124" t="str">
        <f t="shared" si="0"/>
        <v>CSE Life Analysis Service</v>
      </c>
      <c r="E43" s="124" t="str">
        <f t="shared" si="1"/>
        <v>Life Analysis Service</v>
      </c>
      <c r="F43" s="124"/>
      <c r="G43" s="124"/>
      <c r="H43" s="124"/>
      <c r="I43" s="124">
        <f t="shared" si="4"/>
        <v>0</v>
      </c>
      <c r="J43" s="124" t="str">
        <v/>
      </c>
      <c r="K43" s="124"/>
      <c r="L43" s="124" t="str">
        <f>IF(AQ!$K$14="","",IF(AQ!$K$14=L18,$L$1,""))</f>
        <v/>
      </c>
      <c r="M43" s="124" t="str">
        <f>IF(AQ!$K$14="","",IF(AQ!$K$14=M18,$M$1,""))</f>
        <v/>
      </c>
      <c r="N43" s="124" t="str">
        <f>IF(AQ!$K$14="","",IF(AQ!$K$14=N18,$N$1,""))</f>
        <v/>
      </c>
      <c r="O43" s="124" t="str">
        <f>IF(AQ!$K$14="","",IF(AQ!$K$14=O18,$O$1,""))</f>
        <v/>
      </c>
      <c r="P43" s="124" t="str">
        <f>IF(AQ!$K$14="","",IF(AQ!$K$14=P18,$P$1,""))</f>
        <v/>
      </c>
      <c r="Q43" s="124" t="str">
        <f>IF(AQ!$K$14="","",IF(AQ!$K$14=Q18,$Q$1,""))</f>
        <v/>
      </c>
      <c r="R43" s="124" t="str">
        <f>IF(AQ!$K$14="","",IF(AQ!$K$14=R18,$R$1,""))</f>
        <v/>
      </c>
      <c r="S43" s="124" t="str">
        <f>IF(AQ!$K$14="","",IF(AQ!$K$14=S18,$S$1,""))</f>
        <v/>
      </c>
      <c r="T43" s="124" t="str">
        <f>IF(AQ!$K$14="","",IF(AQ!$K$14=T18,$T$1,""))</f>
        <v/>
      </c>
      <c r="U43" s="124" t="str">
        <f>IF(AQ!$K$14="","",IF(AQ!$K$14=U18,$U$1,""))</f>
        <v/>
      </c>
      <c r="V43" s="124" t="str">
        <f>IF(AQ!$K$14="","",IF(AQ!$K$14=V18,$V$1,""))</f>
        <v/>
      </c>
      <c r="W43" s="124" t="str">
        <f>IF(AQ!$K$14="","",IF(AQ!$K$14=W18,$W$1,""))</f>
        <v/>
      </c>
      <c r="X43" s="124" t="str">
        <f>IF(AQ!$K$14="","",IF(AQ!$K$14=X18,$X$1,""))</f>
        <v/>
      </c>
      <c r="Y43" s="124" t="str">
        <f>IF(AQ!$K$14="","",IF(AQ!$K$14=Y18,$Y$1,""))</f>
        <v/>
      </c>
      <c r="Z43" s="124" t="str">
        <f>IF(AQ!$K$14="","",IF(AQ!$K$14=Z18,$Z$1,""))</f>
        <v/>
      </c>
      <c r="AA43" s="124" t="str">
        <f>IF(AQ!$K$14="","",IF(AQ!$K$14=AA18,$AA$1,""))</f>
        <v/>
      </c>
      <c r="AB43" s="124" t="str">
        <f>IF(AQ!$K$14="","",IF(AQ!$K$14=AB18,$AB$1,""))</f>
        <v/>
      </c>
      <c r="AC43" s="124" t="str">
        <f>IF(AQ!$K$14="","",IF(AQ!$K$14=AC18,$AC$1,""))</f>
        <v/>
      </c>
      <c r="AD43" s="124" t="str">
        <f>IF(AQ!$K$14="","",IF(AQ!$K$14=AD18,$AD$1,""))</f>
        <v/>
      </c>
      <c r="AE43" s="124" t="str">
        <f>IF(AQ!$K$14="","",IF(AQ!$K$14=AE18,$AE$1,""))</f>
        <v/>
      </c>
      <c r="AF43" s="124" t="s">
        <v>641</v>
      </c>
      <c r="AG43" s="124" t="s">
        <v>653</v>
      </c>
      <c r="AH43" s="124" t="s">
        <v>643</v>
      </c>
      <c r="AI43" s="127" t="s">
        <v>199</v>
      </c>
    </row>
    <row r="44" spans="1:35" x14ac:dyDescent="0.3">
      <c r="A44" s="124" t="str">
        <f>IF(AND(AQ!$K$14="",AQ!$D$14=""),IF(DB!C43="","",DB!C43),IF(AQ!$D$14="",IF(DB!C43="","",DB!C43),IF(ISERROR(HLOOKUP(AQ!$D$14,$L$1:$AE$24,#REF!,FALSE)),"",IF(HLOOKUP(AQ!$D$14,$L$1:$AE$24,#REF!,FALSE)="","",HLOOKUP(AQ!$D$14,$L$1:$AE$24,#REF!,FALSE)))))</f>
        <v>Life Analysis Service</v>
      </c>
      <c r="B44" s="124"/>
      <c r="C44" s="124" t="s">
        <v>127</v>
      </c>
      <c r="D44" s="124" t="str">
        <f t="shared" si="0"/>
        <v>CSE Medical Carts</v>
      </c>
      <c r="E44" s="124" t="str">
        <f t="shared" si="1"/>
        <v>Medical Carts</v>
      </c>
      <c r="F44" s="124"/>
      <c r="G44" s="124"/>
      <c r="H44" s="124"/>
      <c r="I44" s="124">
        <f t="shared" si="4"/>
        <v>0</v>
      </c>
      <c r="J44" s="124" t="str">
        <v/>
      </c>
      <c r="K44" s="124"/>
      <c r="L44" s="124" t="str">
        <f>IF(AQ!$K$14="","",IF(AQ!$K$14=L19,$L$1,""))</f>
        <v/>
      </c>
      <c r="M44" s="124" t="str">
        <f>IF(AQ!$K$14="","",IF(AQ!$K$14=M19,$M$1,""))</f>
        <v/>
      </c>
      <c r="N44" s="124" t="str">
        <f>IF(AQ!$K$14="","",IF(AQ!$K$14=N19,$N$1,""))</f>
        <v/>
      </c>
      <c r="O44" s="124" t="str">
        <f>IF(AQ!$K$14="","",IF(AQ!$K$14=O19,$O$1,""))</f>
        <v/>
      </c>
      <c r="P44" s="124" t="str">
        <f>IF(AQ!$K$14="","",IF(AQ!$K$14=P19,$P$1,""))</f>
        <v/>
      </c>
      <c r="Q44" s="124" t="str">
        <f>IF(AQ!$K$14="","",IF(AQ!$K$14=Q19,$Q$1,""))</f>
        <v/>
      </c>
      <c r="R44" s="124" t="str">
        <f>IF(AQ!$K$14="","",IF(AQ!$K$14=R19,$R$1,""))</f>
        <v/>
      </c>
      <c r="S44" s="124" t="str">
        <f>IF(AQ!$K$14="","",IF(AQ!$K$14=S19,$S$1,""))</f>
        <v/>
      </c>
      <c r="T44" s="124" t="str">
        <f>IF(AQ!$K$14="","",IF(AQ!$K$14=T19,$T$1,""))</f>
        <v/>
      </c>
      <c r="U44" s="124" t="str">
        <f>IF(AQ!$K$14="","",IF(AQ!$K$14=U19,$U$1,""))</f>
        <v/>
      </c>
      <c r="V44" s="124" t="str">
        <f>IF(AQ!$K$14="","",IF(AQ!$K$14=V19,$V$1,""))</f>
        <v/>
      </c>
      <c r="W44" s="124" t="str">
        <f>IF(AQ!$K$14="","",IF(AQ!$K$14=W19,$W$1,""))</f>
        <v/>
      </c>
      <c r="X44" s="124" t="str">
        <f>IF(AQ!$K$14="","",IF(AQ!$K$14=X19,$X$1,""))</f>
        <v/>
      </c>
      <c r="Y44" s="124" t="str">
        <f>IF(AQ!$K$14="","",IF(AQ!$K$14=Y19,$Y$1,""))</f>
        <v/>
      </c>
      <c r="Z44" s="124" t="str">
        <f>IF(AQ!$K$14="","",IF(AQ!$K$14=Z19,$Z$1,""))</f>
        <v/>
      </c>
      <c r="AA44" s="124" t="str">
        <f>IF(AQ!$K$14="","",IF(AQ!$K$14=AA19,$AA$1,""))</f>
        <v/>
      </c>
      <c r="AB44" s="124" t="str">
        <f>IF(AQ!$K$14="","",IF(AQ!$K$14=AB19,$AB$1,""))</f>
        <v/>
      </c>
      <c r="AC44" s="124" t="str">
        <f>IF(AQ!$K$14="","",IF(AQ!$K$14=AC19,$AC$1,""))</f>
        <v/>
      </c>
      <c r="AD44" s="124" t="str">
        <f>IF(AQ!$K$14="","",IF(AQ!$K$14=AD19,$AD$1,""))</f>
        <v/>
      </c>
      <c r="AE44" s="124" t="str">
        <f>IF(AQ!$K$14="","",IF(AQ!$K$14=AE19,$AE$1,""))</f>
        <v/>
      </c>
      <c r="AF44" s="124" t="s">
        <v>641</v>
      </c>
      <c r="AG44" s="124" t="s">
        <v>619</v>
      </c>
      <c r="AH44" s="124" t="s">
        <v>643</v>
      </c>
      <c r="AI44" s="127" t="s">
        <v>200</v>
      </c>
    </row>
    <row r="45" spans="1:35" x14ac:dyDescent="0.3">
      <c r="A45" s="124" t="str">
        <f>IF(AND(AQ!$K$14="",AQ!$D$14=""),IF(DB!C44="","",DB!C44),IF(AQ!$D$14="",IF(DB!C44="","",DB!C44),IF(ISERROR(HLOOKUP(AQ!$D$14,$L$1:$AE$24,#REF!,FALSE)),"",IF(HLOOKUP(AQ!$D$14,$L$1:$AE$24,#REF!,FALSE)="","",HLOOKUP(AQ!$D$14,$L$1:$AE$24,#REF!,FALSE)))))</f>
        <v>Medical Carts</v>
      </c>
      <c r="B45" s="124"/>
      <c r="C45" s="124" t="s">
        <v>101</v>
      </c>
      <c r="D45" s="124" t="str">
        <f t="shared" si="0"/>
        <v>CSE Meteorology</v>
      </c>
      <c r="E45" s="124" t="str">
        <f t="shared" si="1"/>
        <v>Meteorology</v>
      </c>
      <c r="F45" s="124"/>
      <c r="G45" s="124"/>
      <c r="H45" s="124"/>
      <c r="I45" s="124">
        <f t="shared" si="4"/>
        <v>0</v>
      </c>
      <c r="J45" s="124" t="str">
        <v/>
      </c>
      <c r="K45" s="124"/>
      <c r="L45" s="124" t="str">
        <f>IF(AQ!$K$14="","",IF(AQ!$K$14=L20,$L$1,""))</f>
        <v/>
      </c>
      <c r="M45" s="124" t="str">
        <f>IF(AQ!$K$14="","",IF(AQ!$K$14=M20,$M$1,""))</f>
        <v/>
      </c>
      <c r="N45" s="124" t="str">
        <f>IF(AQ!$K$14="","",IF(AQ!$K$14=N20,$N$1,""))</f>
        <v/>
      </c>
      <c r="O45" s="124" t="str">
        <f>IF(AQ!$K$14="","",IF(AQ!$K$14=O20,$O$1,""))</f>
        <v/>
      </c>
      <c r="P45" s="124" t="str">
        <f>IF(AQ!$K$14="","",IF(AQ!$K$14=P20,$P$1,""))</f>
        <v/>
      </c>
      <c r="Q45" s="124" t="str">
        <f>IF(AQ!$K$14="","",IF(AQ!$K$14=Q20,$Q$1,""))</f>
        <v/>
      </c>
      <c r="R45" s="124" t="str">
        <f>IF(AQ!$K$14="","",IF(AQ!$K$14=R20,$R$1,""))</f>
        <v/>
      </c>
      <c r="S45" s="124" t="str">
        <f>IF(AQ!$K$14="","",IF(AQ!$K$14=S20,$S$1,""))</f>
        <v/>
      </c>
      <c r="T45" s="124" t="str">
        <f>IF(AQ!$K$14="","",IF(AQ!$K$14=T20,$T$1,""))</f>
        <v/>
      </c>
      <c r="U45" s="124" t="str">
        <f>IF(AQ!$K$14="","",IF(AQ!$K$14=U20,$U$1,""))</f>
        <v/>
      </c>
      <c r="V45" s="124" t="str">
        <f>IF(AQ!$K$14="","",IF(AQ!$K$14=V20,$V$1,""))</f>
        <v/>
      </c>
      <c r="W45" s="124" t="str">
        <f>IF(AQ!$K$14="","",IF(AQ!$K$14=W20,$W$1,""))</f>
        <v/>
      </c>
      <c r="X45" s="124" t="str">
        <f>IF(AQ!$K$14="","",IF(AQ!$K$14=X20,$X$1,""))</f>
        <v/>
      </c>
      <c r="Y45" s="124" t="str">
        <f>IF(AQ!$K$14="","",IF(AQ!$K$14=Y20,$Y$1,""))</f>
        <v/>
      </c>
      <c r="Z45" s="124" t="str">
        <f>IF(AQ!$K$14="","",IF(AQ!$K$14=Z20,$Z$1,""))</f>
        <v/>
      </c>
      <c r="AA45" s="124" t="str">
        <f>IF(AQ!$K$14="","",IF(AQ!$K$14=AA20,$AA$1,""))</f>
        <v/>
      </c>
      <c r="AB45" s="124" t="str">
        <f>IF(AQ!$K$14="","",IF(AQ!$K$14=AB20,$AB$1,""))</f>
        <v/>
      </c>
      <c r="AC45" s="124" t="str">
        <f>IF(AQ!$K$14="","",IF(AQ!$K$14=AC20,$AC$1,""))</f>
        <v/>
      </c>
      <c r="AD45" s="124" t="str">
        <f>IF(AQ!$K$14="","",IF(AQ!$K$14=AD20,$AD$1,""))</f>
        <v/>
      </c>
      <c r="AE45" s="124" t="str">
        <f>IF(AQ!$K$14="","",IF(AQ!$K$14=AE20,$AE$1,""))</f>
        <v/>
      </c>
      <c r="AF45" s="124" t="s">
        <v>641</v>
      </c>
      <c r="AG45" s="124" t="s">
        <v>654</v>
      </c>
      <c r="AH45" s="124" t="s">
        <v>643</v>
      </c>
      <c r="AI45" s="127" t="s">
        <v>201</v>
      </c>
    </row>
    <row r="46" spans="1:35" x14ac:dyDescent="0.3">
      <c r="A46" s="124" t="str">
        <f>IF(AND(AQ!$K$14="",AQ!$D$14=""),IF(DB!C45="","",DB!C45),IF(AQ!$D$14="",IF(DB!C45="","",DB!C45),IF(ISERROR(HLOOKUP(AQ!$D$14,$L$1:$AE$24,#REF!,FALSE)),"",IF(HLOOKUP(AQ!$D$14,$L$1:$AE$24,#REF!,FALSE)="","",HLOOKUP(AQ!$D$14,$L$1:$AE$24,#REF!,FALSE)))))</f>
        <v>Meteorology</v>
      </c>
      <c r="B46" s="124"/>
      <c r="C46" s="124" t="s">
        <v>105</v>
      </c>
      <c r="D46" s="124" t="str">
        <f t="shared" si="0"/>
        <v>CSE Miner Portable Devices</v>
      </c>
      <c r="E46" s="124" t="str">
        <f t="shared" si="1"/>
        <v>Miner Portable Devices</v>
      </c>
      <c r="F46" s="124"/>
      <c r="G46" s="124"/>
      <c r="H46" s="124"/>
      <c r="I46" s="124">
        <f t="shared" si="4"/>
        <v>0</v>
      </c>
      <c r="J46" s="124" t="str">
        <v/>
      </c>
      <c r="K46" s="124"/>
      <c r="L46" s="124" t="str">
        <f>IF(AQ!$K$14="","",IF(AQ!$K$14=L21,$L$1,""))</f>
        <v/>
      </c>
      <c r="M46" s="124" t="str">
        <f>IF(AQ!$K$14="","",IF(AQ!$K$14=M21,$M$1,""))</f>
        <v/>
      </c>
      <c r="N46" s="124" t="str">
        <f>IF(AQ!$K$14="","",IF(AQ!$K$14=N21,$N$1,""))</f>
        <v/>
      </c>
      <c r="O46" s="124" t="str">
        <f>IF(AQ!$K$14="","",IF(AQ!$K$14=O21,$O$1,""))</f>
        <v/>
      </c>
      <c r="P46" s="124" t="str">
        <f>IF(AQ!$K$14="","",IF(AQ!$K$14=P21,$P$1,""))</f>
        <v/>
      </c>
      <c r="Q46" s="124" t="str">
        <f>IF(AQ!$K$14="","",IF(AQ!$K$14=Q21,$Q$1,""))</f>
        <v/>
      </c>
      <c r="R46" s="124" t="str">
        <f>IF(AQ!$K$14="","",IF(AQ!$K$14=R21,$R$1,""))</f>
        <v/>
      </c>
      <c r="S46" s="124" t="str">
        <f>IF(AQ!$K$14="","",IF(AQ!$K$14=S21,$S$1,""))</f>
        <v/>
      </c>
      <c r="T46" s="124" t="str">
        <f>IF(AQ!$K$14="","",IF(AQ!$K$14=T21,$T$1,""))</f>
        <v/>
      </c>
      <c r="U46" s="124" t="str">
        <f>IF(AQ!$K$14="","",IF(AQ!$K$14=U21,$U$1,""))</f>
        <v/>
      </c>
      <c r="V46" s="124" t="str">
        <f>IF(AQ!$K$14="","",IF(AQ!$K$14=V21,$V$1,""))</f>
        <v/>
      </c>
      <c r="W46" s="124" t="str">
        <f>IF(AQ!$K$14="","",IF(AQ!$K$14=W21,$W$1,""))</f>
        <v/>
      </c>
      <c r="X46" s="124" t="str">
        <f>IF(AQ!$K$14="","",IF(AQ!$K$14=X21,$X$1,""))</f>
        <v/>
      </c>
      <c r="Y46" s="124" t="str">
        <f>IF(AQ!$K$14="","",IF(AQ!$K$14=Y21,$Y$1,""))</f>
        <v/>
      </c>
      <c r="Z46" s="124" t="str">
        <f>IF(AQ!$K$14="","",IF(AQ!$K$14=Z21,$Z$1,""))</f>
        <v/>
      </c>
      <c r="AA46" s="124" t="str">
        <f>IF(AQ!$K$14="","",IF(AQ!$K$14=AA21,$AA$1,""))</f>
        <v/>
      </c>
      <c r="AB46" s="124" t="str">
        <f>IF(AQ!$K$14="","",IF(AQ!$K$14=AB21,$AB$1,""))</f>
        <v/>
      </c>
      <c r="AC46" s="124" t="str">
        <f>IF(AQ!$K$14="","",IF(AQ!$K$14=AC21,$AC$1,""))</f>
        <v/>
      </c>
      <c r="AD46" s="124" t="str">
        <f>IF(AQ!$K$14="","",IF(AQ!$K$14=AD21,$AD$1,""))</f>
        <v/>
      </c>
      <c r="AE46" s="124" t="str">
        <f>IF(AQ!$K$14="","",IF(AQ!$K$14=AE21,$AE$1,""))</f>
        <v/>
      </c>
      <c r="AF46" s="124" t="s">
        <v>641</v>
      </c>
      <c r="AG46" s="124" t="s">
        <v>622</v>
      </c>
      <c r="AH46" s="124" t="s">
        <v>643</v>
      </c>
      <c r="AI46" s="127" t="s">
        <v>202</v>
      </c>
    </row>
    <row r="47" spans="1:35" x14ac:dyDescent="0.3">
      <c r="A47" s="124" t="str">
        <f>IF(AND(AQ!$K$14="",AQ!$D$14=""),IF(DB!C46="","",DB!C46),IF(AQ!$D$14="",IF(DB!C46="","",DB!C46),IF(ISERROR(HLOOKUP(AQ!$D$14,$L$1:$AE$24,#REF!,FALSE)),"",IF(HLOOKUP(AQ!$D$14,$L$1:$AE$24,#REF!,FALSE)="","",HLOOKUP(AQ!$D$14,$L$1:$AE$24,#REF!,FALSE)))))</f>
        <v>Miner Portable Devices</v>
      </c>
      <c r="B47" s="124"/>
      <c r="C47" s="124" t="s">
        <v>598</v>
      </c>
      <c r="D47" s="124" t="str">
        <f t="shared" si="0"/>
        <v>CSE Missile</v>
      </c>
      <c r="E47" s="124" t="str">
        <f t="shared" si="1"/>
        <v>Missile</v>
      </c>
      <c r="F47" s="124"/>
      <c r="G47" s="124"/>
      <c r="H47" s="124"/>
      <c r="I47" s="124">
        <f t="shared" si="4"/>
        <v>0</v>
      </c>
      <c r="J47" s="124" t="str">
        <v/>
      </c>
      <c r="K47" s="124"/>
      <c r="L47" s="124" t="str">
        <f>IF(AQ!$K$14="","",IF(AQ!$K$14=L22,$L$1,""))</f>
        <v/>
      </c>
      <c r="M47" s="124" t="str">
        <f>IF(AQ!$K$14="","",IF(AQ!$K$14=M22,$M$1,""))</f>
        <v/>
      </c>
      <c r="N47" s="124" t="str">
        <f>IF(AQ!$K$14="","",IF(AQ!$K$14=N22,$N$1,""))</f>
        <v/>
      </c>
      <c r="O47" s="124" t="str">
        <f>IF(AQ!$K$14="","",IF(AQ!$K$14=O22,$O$1,""))</f>
        <v/>
      </c>
      <c r="P47" s="124" t="str">
        <f>IF(AQ!$K$14="","",IF(AQ!$K$14=P22,$P$1,""))</f>
        <v/>
      </c>
      <c r="Q47" s="124" t="str">
        <f>IF(AQ!$K$14="","",IF(AQ!$K$14=Q22,$Q$1,""))</f>
        <v/>
      </c>
      <c r="R47" s="124" t="str">
        <f>IF(AQ!$K$14="","",IF(AQ!$K$14=R22,$R$1,""))</f>
        <v/>
      </c>
      <c r="S47" s="124" t="str">
        <f>IF(AQ!$K$14="","",IF(AQ!$K$14=S22,$S$1,""))</f>
        <v/>
      </c>
      <c r="T47" s="124" t="str">
        <f>IF(AQ!$K$14="","",IF(AQ!$K$14=T22,$T$1,""))</f>
        <v/>
      </c>
      <c r="U47" s="124" t="str">
        <f>IF(AQ!$K$14="","",IF(AQ!$K$14=U22,$U$1,""))</f>
        <v/>
      </c>
      <c r="V47" s="124" t="str">
        <f>IF(AQ!$K$14="","",IF(AQ!$K$14=V22,$V$1,""))</f>
        <v/>
      </c>
      <c r="W47" s="124" t="str">
        <f>IF(AQ!$K$14="","",IF(AQ!$K$14=W22,$W$1,""))</f>
        <v/>
      </c>
      <c r="X47" s="124" t="str">
        <f>IF(AQ!$K$14="","",IF(AQ!$K$14=X22,$X$1,""))</f>
        <v/>
      </c>
      <c r="Y47" s="124" t="str">
        <f>IF(AQ!$K$14="","",IF(AQ!$K$14=Y22,$Y$1,""))</f>
        <v/>
      </c>
      <c r="Z47" s="124" t="str">
        <f>IF(AQ!$K$14="","",IF(AQ!$K$14=Z22,$Z$1,""))</f>
        <v/>
      </c>
      <c r="AA47" s="124" t="str">
        <f>IF(AQ!$K$14="","",IF(AQ!$K$14=AA22,$AA$1,""))</f>
        <v/>
      </c>
      <c r="AB47" s="124" t="str">
        <f>IF(AQ!$K$14="","",IF(AQ!$K$14=AB22,$AB$1,""))</f>
        <v/>
      </c>
      <c r="AC47" s="124" t="str">
        <f>IF(AQ!$K$14="","",IF(AQ!$K$14=AC22,$AC$1,""))</f>
        <v/>
      </c>
      <c r="AD47" s="124" t="str">
        <f>IF(AQ!$K$14="","",IF(AQ!$K$14=AD22,$AD$1,""))</f>
        <v/>
      </c>
      <c r="AE47" s="124" t="str">
        <f>IF(AQ!$K$14="","",IF(AQ!$K$14=AE22,$AE$1,""))</f>
        <v/>
      </c>
      <c r="AF47" s="124" t="s">
        <v>641</v>
      </c>
      <c r="AG47" s="124" t="s">
        <v>655</v>
      </c>
      <c r="AH47" s="124" t="s">
        <v>643</v>
      </c>
      <c r="AI47" s="127" t="s">
        <v>203</v>
      </c>
    </row>
    <row r="48" spans="1:35" x14ac:dyDescent="0.3">
      <c r="A48" s="124" t="str">
        <f>IF(AND(AQ!$K$14="",AQ!$D$14=""),IF(DB!C47="","",DB!C47),IF(AQ!$D$14="",IF(DB!C47="","",DB!C47),IF(ISERROR(HLOOKUP(AQ!$D$14,$L$1:$AE$24,#REF!,FALSE)),"",IF(HLOOKUP(AQ!$D$14,$L$1:$AE$24,#REF!,FALSE)="","",HLOOKUP(AQ!$D$14,$L$1:$AE$24,#REF!,FALSE)))))</f>
        <v>Missile</v>
      </c>
      <c r="B48" s="124"/>
      <c r="C48" s="124" t="s">
        <v>150</v>
      </c>
      <c r="D48" s="124" t="str">
        <f t="shared" si="0"/>
        <v>CSE Night Vision Googles</v>
      </c>
      <c r="E48" s="124" t="str">
        <f t="shared" si="1"/>
        <v>Night Vision Googles</v>
      </c>
      <c r="F48" s="124"/>
      <c r="G48" s="124"/>
      <c r="H48" s="124"/>
      <c r="I48" s="124">
        <f t="shared" si="4"/>
        <v>0</v>
      </c>
      <c r="J48" s="124" t="str">
        <v/>
      </c>
      <c r="K48" s="124"/>
      <c r="L48" s="124" t="str">
        <f>IF(AQ!$K$14="","",IF(AQ!$K$14=L23,$L$1,""))</f>
        <v/>
      </c>
      <c r="M48" s="124" t="str">
        <f>IF(AQ!$K$14="","",IF(AQ!$K$14=M23,$M$1,""))</f>
        <v/>
      </c>
      <c r="N48" s="124" t="str">
        <f>IF(AQ!$K$14="","",IF(AQ!$K$14=N23,$N$1,""))</f>
        <v/>
      </c>
      <c r="O48" s="124" t="str">
        <f>IF(AQ!$K$14="","",IF(AQ!$K$14=O23,$O$1,""))</f>
        <v/>
      </c>
      <c r="P48" s="124" t="str">
        <f>IF(AQ!$K$14="","",IF(AQ!$K$14=P23,$P$1,""))</f>
        <v/>
      </c>
      <c r="Q48" s="124" t="str">
        <f>IF(AQ!$K$14="","",IF(AQ!$K$14=Q23,$Q$1,""))</f>
        <v/>
      </c>
      <c r="R48" s="124" t="str">
        <f>IF(AQ!$K$14="","",IF(AQ!$K$14=R23,$R$1,""))</f>
        <v/>
      </c>
      <c r="S48" s="124" t="str">
        <f>IF(AQ!$K$14="","",IF(AQ!$K$14=S23,$S$1,""))</f>
        <v/>
      </c>
      <c r="T48" s="124" t="str">
        <f>IF(AQ!$K$14="","",IF(AQ!$K$14=T23,$T$1,""))</f>
        <v/>
      </c>
      <c r="U48" s="124" t="str">
        <f>IF(AQ!$K$14="","",IF(AQ!$K$14=U23,$U$1,""))</f>
        <v/>
      </c>
      <c r="V48" s="124" t="str">
        <f>IF(AQ!$K$14="","",IF(AQ!$K$14=V23,$V$1,""))</f>
        <v/>
      </c>
      <c r="W48" s="124" t="str">
        <f>IF(AQ!$K$14="","",IF(AQ!$K$14=W23,$W$1,""))</f>
        <v/>
      </c>
      <c r="X48" s="124" t="str">
        <f>IF(AQ!$K$14="","",IF(AQ!$K$14=X23,$X$1,""))</f>
        <v/>
      </c>
      <c r="Y48" s="124" t="str">
        <f>IF(AQ!$K$14="","",IF(AQ!$K$14=Y23,$Y$1,""))</f>
        <v/>
      </c>
      <c r="Z48" s="124" t="str">
        <f>IF(AQ!$K$14="","",IF(AQ!$K$14=Z23,$Z$1,""))</f>
        <v/>
      </c>
      <c r="AA48" s="124" t="str">
        <f>IF(AQ!$K$14="","",IF(AQ!$K$14=AA23,$AA$1,""))</f>
        <v/>
      </c>
      <c r="AB48" s="124" t="str">
        <f>IF(AQ!$K$14="","",IF(AQ!$K$14=AB23,$AB$1,""))</f>
        <v/>
      </c>
      <c r="AC48" s="124" t="str">
        <f>IF(AQ!$K$14="","",IF(AQ!$K$14=AC23,$AC$1,""))</f>
        <v/>
      </c>
      <c r="AD48" s="124" t="str">
        <f>IF(AQ!$K$14="","",IF(AQ!$K$14=AD23,$AD$1,""))</f>
        <v/>
      </c>
      <c r="AE48" s="124" t="str">
        <f>IF(AQ!$K$14="","",IF(AQ!$K$14=AE23,$AE$1,""))</f>
        <v/>
      </c>
      <c r="AF48" s="124" t="s">
        <v>641</v>
      </c>
      <c r="AG48" s="124" t="s">
        <v>624</v>
      </c>
      <c r="AH48" s="124" t="s">
        <v>643</v>
      </c>
      <c r="AI48" s="127" t="s">
        <v>204</v>
      </c>
    </row>
    <row r="49" spans="1:35" x14ac:dyDescent="0.3">
      <c r="A49" s="124" t="str">
        <f>IF(AND(AQ!$K$14="",AQ!$D$14=""),IF(DB!C48="","",DB!C48),IF(AQ!$D$14="",IF(DB!C48="","",DB!C48),IF(ISERROR(HLOOKUP(AQ!$D$14,$L$1:$AE$24,#REF!,FALSE)),"",IF(HLOOKUP(AQ!$D$14,$L$1:$AE$24,#REF!,FALSE)="","",HLOOKUP(AQ!$D$14,$L$1:$AE$24,#REF!,FALSE)))))</f>
        <v>Night Vision Googles</v>
      </c>
      <c r="B49" s="124"/>
      <c r="C49" s="124" t="s">
        <v>110</v>
      </c>
      <c r="D49" s="124" t="str">
        <f t="shared" si="0"/>
        <v>CSE Oceanography Equipment</v>
      </c>
      <c r="E49" s="124" t="str">
        <f t="shared" si="1"/>
        <v>Oceanography Equipment</v>
      </c>
      <c r="F49" s="124"/>
      <c r="G49" s="124"/>
      <c r="H49" s="124"/>
      <c r="I49" s="124">
        <f t="shared" si="4"/>
        <v>0</v>
      </c>
      <c r="J49" s="124" t="str">
        <v/>
      </c>
      <c r="K49" s="124"/>
      <c r="L49" s="124" t="str">
        <f>IF(AQ!$K$14="","",IF(AQ!$K$14=L24,$L$1,""))</f>
        <v/>
      </c>
      <c r="M49" s="124" t="str">
        <f>IF(AQ!$K$14="","",IF(AQ!$K$14=M24,$M$1,""))</f>
        <v/>
      </c>
      <c r="N49" s="124" t="str">
        <f>IF(AQ!$K$14="","",IF(AQ!$K$14=N24,$N$1,""))</f>
        <v/>
      </c>
      <c r="O49" s="124" t="str">
        <f>IF(AQ!$K$14="","",IF(AQ!$K$14=O24,$O$1,""))</f>
        <v/>
      </c>
      <c r="P49" s="124" t="str">
        <f>IF(AQ!$K$14="","",IF(AQ!$K$14=P24,$P$1,""))</f>
        <v/>
      </c>
      <c r="Q49" s="124" t="str">
        <f>IF(AQ!$K$14="","",IF(AQ!$K$14=Q24,$Q$1,""))</f>
        <v/>
      </c>
      <c r="R49" s="124" t="str">
        <f>IF(AQ!$K$14="","",IF(AQ!$K$14=R24,$R$1,""))</f>
        <v/>
      </c>
      <c r="S49" s="124" t="str">
        <f>IF(AQ!$K$14="","",IF(AQ!$K$14=S24,$S$1,""))</f>
        <v/>
      </c>
      <c r="T49" s="124" t="str">
        <f>IF(AQ!$K$14="","",IF(AQ!$K$14=T24,$T$1,""))</f>
        <v/>
      </c>
      <c r="U49" s="124" t="str">
        <f>IF(AQ!$K$14="","",IF(AQ!$K$14=U24,$U$1,""))</f>
        <v/>
      </c>
      <c r="V49" s="124" t="str">
        <f>IF(AQ!$K$14="","",IF(AQ!$K$14=V24,$V$1,""))</f>
        <v/>
      </c>
      <c r="W49" s="124" t="str">
        <f>IF(AQ!$K$14="","",IF(AQ!$K$14=W24,$W$1,""))</f>
        <v/>
      </c>
      <c r="X49" s="124" t="str">
        <f>IF(AQ!$K$14="","",IF(AQ!$K$14=X24,$X$1,""))</f>
        <v/>
      </c>
      <c r="Y49" s="124" t="str">
        <f>IF(AQ!$K$14="","",IF(AQ!$K$14=Y24,$Y$1,""))</f>
        <v/>
      </c>
      <c r="Z49" s="124" t="str">
        <f>IF(AQ!$K$14="","",IF(AQ!$K$14=Z24,$Z$1,""))</f>
        <v/>
      </c>
      <c r="AA49" s="124" t="str">
        <f>IF(AQ!$K$14="","",IF(AQ!$K$14=AA24,$AA$1,""))</f>
        <v/>
      </c>
      <c r="AB49" s="124" t="str">
        <f>IF(AQ!$K$14="","",IF(AQ!$K$14=AB24,$AB$1,""))</f>
        <v/>
      </c>
      <c r="AC49" s="124" t="str">
        <f>IF(AQ!$K$14="","",IF(AQ!$K$14=AC24,$AC$1,""))</f>
        <v/>
      </c>
      <c r="AD49" s="124" t="str">
        <f>IF(AQ!$K$14="","",IF(AQ!$K$14=AD24,$AD$1,""))</f>
        <v/>
      </c>
      <c r="AE49" s="124" t="str">
        <f>IF(AQ!$K$14="","",IF(AQ!$K$14=AE24,$AE$1,""))</f>
        <v/>
      </c>
      <c r="AF49" s="124" t="s">
        <v>641</v>
      </c>
      <c r="AG49" s="124" t="s">
        <v>656</v>
      </c>
      <c r="AH49" s="124" t="s">
        <v>643</v>
      </c>
      <c r="AI49" s="127" t="s">
        <v>205</v>
      </c>
    </row>
    <row r="50" spans="1:35" x14ac:dyDescent="0.3">
      <c r="A50" s="124" t="str">
        <f>IF(AND(AQ!$K$14="",AQ!$D$14=""),IF(DB!C49="","",DB!C49),IF(AQ!$D$14="",IF(DB!C49="","",DB!C49),IF(ISERROR(HLOOKUP(AQ!$D$14,$L$1:$AE$24,#REF!,FALSE)),"",IF(HLOOKUP(AQ!$D$14,$L$1:$AE$24,#REF!,FALSE)="","",HLOOKUP(AQ!$D$14,$L$1:$AE$24,#REF!,FALSE)))))</f>
        <v>Oceanography Equipment</v>
      </c>
      <c r="B50" s="124"/>
      <c r="C50" s="124" t="s">
        <v>135</v>
      </c>
      <c r="D50" s="124" t="str">
        <f t="shared" si="0"/>
        <v>CSE Oil Drilling Monitoring Sensors (MWD / LWD)</v>
      </c>
      <c r="E50" s="124" t="str">
        <f t="shared" si="1"/>
        <v>Oil Drilling Monitoring Sensors (MWD / LWD)</v>
      </c>
      <c r="F50" s="124"/>
      <c r="G50" s="124"/>
      <c r="H50" s="124"/>
      <c r="I50" s="124">
        <f t="shared" si="4"/>
        <v>0</v>
      </c>
      <c r="J50" s="124" t="str">
        <v/>
      </c>
      <c r="K50" s="124"/>
      <c r="L50" s="124"/>
      <c r="M50" s="124"/>
      <c r="N50" s="124"/>
      <c r="O50" s="124"/>
      <c r="P50" s="124"/>
      <c r="Q50" s="124"/>
      <c r="R50" s="124"/>
      <c r="S50" s="124"/>
      <c r="T50" s="124"/>
      <c r="U50" s="124"/>
      <c r="V50" s="124"/>
      <c r="W50" s="124"/>
      <c r="X50" s="124"/>
      <c r="Y50" s="124"/>
      <c r="Z50" s="124"/>
      <c r="AA50" s="124"/>
      <c r="AB50" s="124"/>
      <c r="AC50" s="124"/>
      <c r="AD50" s="124"/>
      <c r="AE50" s="124"/>
      <c r="AF50" s="124" t="s">
        <v>641</v>
      </c>
      <c r="AG50" s="124" t="s">
        <v>657</v>
      </c>
      <c r="AH50" s="124" t="s">
        <v>643</v>
      </c>
      <c r="AI50" s="127" t="s">
        <v>206</v>
      </c>
    </row>
    <row r="51" spans="1:35" x14ac:dyDescent="0.3">
      <c r="A51" s="124" t="str">
        <f>IF(AND(AQ!$K$14="",AQ!$D$14=""),IF(DB!C50="","",DB!C50),IF(AQ!$D$14="",IF(DB!C50="","",DB!C50),IF(ISERROR(HLOOKUP(AQ!$D$14,$L$1:$AE$24,#REF!,FALSE)),"",IF(HLOOKUP(AQ!$D$14,$L$1:$AE$24,#REF!,FALSE)="","",HLOOKUP(AQ!$D$14,$L$1:$AE$24,#REF!,FALSE)))))</f>
        <v>Oil Drilling Monitoring Sensors (MWD / LWD)</v>
      </c>
      <c r="B51" s="124"/>
      <c r="C51" s="124" t="s">
        <v>590</v>
      </c>
      <c r="D51" s="124" t="str">
        <f t="shared" si="0"/>
        <v>CSE Oilfield</v>
      </c>
      <c r="E51" s="124" t="str">
        <f t="shared" si="1"/>
        <v>Oilfield</v>
      </c>
      <c r="F51" s="124"/>
      <c r="G51" s="124"/>
      <c r="H51" s="124"/>
      <c r="I51" s="124">
        <f t="shared" si="4"/>
        <v>0</v>
      </c>
      <c r="J51" s="124" t="str">
        <v/>
      </c>
      <c r="K51" s="124"/>
      <c r="L51" s="124"/>
      <c r="M51" s="124"/>
      <c r="N51" s="124"/>
      <c r="O51" s="124"/>
      <c r="P51" s="124"/>
      <c r="Q51" s="124"/>
      <c r="R51" s="124"/>
      <c r="S51" s="124"/>
      <c r="T51" s="124"/>
      <c r="U51" s="124"/>
      <c r="V51" s="124"/>
      <c r="W51" s="124"/>
      <c r="X51" s="124"/>
      <c r="Y51" s="124"/>
      <c r="Z51" s="124"/>
      <c r="AA51" s="124"/>
      <c r="AB51" s="124"/>
      <c r="AC51" s="124"/>
      <c r="AD51" s="124"/>
      <c r="AE51" s="124"/>
      <c r="AF51" s="124" t="s">
        <v>658</v>
      </c>
      <c r="AG51" s="124" t="s">
        <v>614</v>
      </c>
      <c r="AH51" s="124" t="s">
        <v>736</v>
      </c>
      <c r="AI51" s="127" t="s">
        <v>207</v>
      </c>
    </row>
    <row r="52" spans="1:35" x14ac:dyDescent="0.3">
      <c r="A52" s="124" t="str">
        <f>IF(AND(AQ!$K$14="",AQ!$D$14=""),IF(DB!C51="","",DB!C51),IF(AQ!$D$14="",IF(DB!C51="","",DB!C51),IF(ISERROR(HLOOKUP(AQ!$D$14,$L$1:$AE$24,#REF!,FALSE)),"",IF(HLOOKUP(AQ!$D$14,$L$1:$AE$24,#REF!,FALSE)="","",HLOOKUP(AQ!$D$14,$L$1:$AE$24,#REF!,FALSE)))))</f>
        <v>Oilfield</v>
      </c>
      <c r="B52" s="124"/>
      <c r="C52" s="124" t="s">
        <v>136</v>
      </c>
      <c r="D52" s="124" t="str">
        <f t="shared" si="0"/>
        <v>CSE Parachutes</v>
      </c>
      <c r="E52" s="124" t="str">
        <f t="shared" si="1"/>
        <v>Parachutes</v>
      </c>
      <c r="F52" s="124"/>
      <c r="G52" s="124"/>
      <c r="H52" s="124"/>
      <c r="I52" s="124">
        <f t="shared" si="4"/>
        <v>0</v>
      </c>
      <c r="J52" s="124" t="str">
        <v/>
      </c>
      <c r="K52" s="124"/>
      <c r="L52" s="124"/>
      <c r="M52" s="124"/>
      <c r="N52" s="124"/>
      <c r="O52" s="124"/>
      <c r="P52" s="124"/>
      <c r="Q52" s="124"/>
      <c r="R52" s="124"/>
      <c r="S52" s="124"/>
      <c r="T52" s="124"/>
      <c r="U52" s="124"/>
      <c r="V52" s="124"/>
      <c r="W52" s="124"/>
      <c r="X52" s="124"/>
      <c r="Y52" s="124"/>
      <c r="Z52" s="124"/>
      <c r="AA52" s="124"/>
      <c r="AB52" s="124"/>
      <c r="AC52" s="124"/>
      <c r="AD52" s="124"/>
      <c r="AE52" s="124"/>
      <c r="AF52" s="124" t="s">
        <v>658</v>
      </c>
      <c r="AG52" s="124" t="s">
        <v>645</v>
      </c>
      <c r="AH52" s="124" t="s">
        <v>736</v>
      </c>
      <c r="AI52" s="127" t="s">
        <v>208</v>
      </c>
    </row>
    <row r="53" spans="1:35" x14ac:dyDescent="0.3">
      <c r="A53" s="124" t="str">
        <f>IF(AND(AQ!$K$14="",AQ!$D$14=""),IF(DB!C52="","",DB!C52),IF(AQ!$D$14="",IF(DB!C52="","",DB!C52),IF(ISERROR(HLOOKUP(AQ!$D$14,$L$1:$AE$24,#REF!,FALSE)),"",IF(HLOOKUP(AQ!$D$14,$L$1:$AE$24,#REF!,FALSE)="","",HLOOKUP(AQ!$D$14,$L$1:$AE$24,#REF!,FALSE)))))</f>
        <v>Parachutes</v>
      </c>
      <c r="B53" s="124"/>
      <c r="C53" s="124" t="s">
        <v>596</v>
      </c>
      <c r="D53" s="124" t="str">
        <f t="shared" si="0"/>
        <v>CSE Parking sensor</v>
      </c>
      <c r="E53" s="124" t="str">
        <f t="shared" si="1"/>
        <v>Parking sensor</v>
      </c>
      <c r="F53" s="124"/>
      <c r="G53" s="124"/>
      <c r="H53" s="124"/>
      <c r="I53" s="124">
        <f t="shared" si="4"/>
        <v>0</v>
      </c>
      <c r="J53" s="124" t="str">
        <v/>
      </c>
      <c r="K53" s="124"/>
      <c r="L53" s="124"/>
      <c r="M53" s="124"/>
      <c r="N53" s="124"/>
      <c r="O53" s="124"/>
      <c r="P53" s="124"/>
      <c r="Q53" s="124"/>
      <c r="R53" s="124"/>
      <c r="S53" s="124"/>
      <c r="T53" s="124"/>
      <c r="U53" s="124"/>
      <c r="V53" s="124"/>
      <c r="W53" s="124"/>
      <c r="X53" s="124"/>
      <c r="Y53" s="124"/>
      <c r="Z53" s="124"/>
      <c r="AA53" s="124"/>
      <c r="AB53" s="124"/>
      <c r="AC53" s="124"/>
      <c r="AD53" s="124"/>
      <c r="AE53" s="124"/>
      <c r="AF53" s="124" t="s">
        <v>658</v>
      </c>
      <c r="AG53" s="124" t="s">
        <v>646</v>
      </c>
      <c r="AH53" s="124" t="s">
        <v>736</v>
      </c>
      <c r="AI53" s="127" t="s">
        <v>209</v>
      </c>
    </row>
    <row r="54" spans="1:35" x14ac:dyDescent="0.3">
      <c r="A54" s="124" t="str">
        <f>IF(AND(AQ!$K$14="",AQ!$D$14=""),IF(DB!C53="","",DB!C53),IF(AQ!$D$14="",IF(DB!C53="","",DB!C53),IF(ISERROR(HLOOKUP(AQ!$D$14,$L$1:$AE$24,#REF!,FALSE)),"",IF(HLOOKUP(AQ!$D$14,$L$1:$AE$24,#REF!,FALSE)="","",HLOOKUP(AQ!$D$14,$L$1:$AE$24,#REF!,FALSE)))))</f>
        <v>Parking sensor</v>
      </c>
      <c r="B54" s="124"/>
      <c r="C54" s="124" t="s">
        <v>106</v>
      </c>
      <c r="D54" s="124" t="str">
        <f t="shared" si="0"/>
        <v>CSE Payment Terminals</v>
      </c>
      <c r="E54" s="124" t="str">
        <f t="shared" si="1"/>
        <v>Payment Terminals</v>
      </c>
      <c r="F54" s="124"/>
      <c r="G54" s="124"/>
      <c r="H54" s="124"/>
      <c r="I54" s="124">
        <f t="shared" si="4"/>
        <v>0</v>
      </c>
      <c r="J54" s="124" t="str">
        <v/>
      </c>
      <c r="K54" s="124"/>
      <c r="L54" s="124"/>
      <c r="M54" s="124"/>
      <c r="N54" s="124"/>
      <c r="O54" s="124" t="str">
        <f>IF(R27="","",R27)</f>
        <v/>
      </c>
      <c r="P54" s="124" t="str">
        <f>IF(S27="","",S27)</f>
        <v/>
      </c>
      <c r="Q54" s="124"/>
      <c r="R54" s="124"/>
      <c r="S54" s="124"/>
      <c r="T54" s="124"/>
      <c r="U54" s="124"/>
      <c r="V54" s="124"/>
      <c r="W54" s="124"/>
      <c r="X54" s="124"/>
      <c r="Y54" s="124"/>
      <c r="Z54" s="124"/>
      <c r="AA54" s="124"/>
      <c r="AB54" s="124"/>
      <c r="AC54" s="124"/>
      <c r="AD54" s="124"/>
      <c r="AE54" s="124"/>
      <c r="AF54" s="124" t="s">
        <v>658</v>
      </c>
      <c r="AG54" s="124" t="s">
        <v>647</v>
      </c>
      <c r="AH54" s="124" t="s">
        <v>736</v>
      </c>
      <c r="AI54" s="127" t="s">
        <v>210</v>
      </c>
    </row>
    <row r="55" spans="1:35" x14ac:dyDescent="0.3">
      <c r="A55" s="124" t="str">
        <f>IF(AND(AQ!$K$14="",AQ!$D$14=""),IF(DB!C54="","",DB!C54),IF(AQ!$D$14="",IF(DB!C54="","",DB!C54),IF(ISERROR(HLOOKUP(AQ!$D$14,$L$1:$AE$24,#REF!,FALSE)),"",IF(HLOOKUP(AQ!$D$14,$L$1:$AE$24,#REF!,FALSE)="","",HLOOKUP(AQ!$D$14,$L$1:$AE$24,#REF!,FALSE)))))</f>
        <v>Payment Terminals</v>
      </c>
      <c r="B55" s="124"/>
      <c r="C55" s="124" t="s">
        <v>144</v>
      </c>
      <c r="D55" s="124" t="str">
        <f t="shared" si="0"/>
        <v>CSE Pipeline Inspection</v>
      </c>
      <c r="E55" s="124" t="str">
        <f t="shared" si="1"/>
        <v>Pipeline Inspection</v>
      </c>
      <c r="F55" s="124"/>
      <c r="G55" s="124"/>
      <c r="H55" s="124"/>
      <c r="I55" s="124">
        <f t="shared" si="4"/>
        <v>0</v>
      </c>
      <c r="J55" s="124" t="str">
        <v/>
      </c>
      <c r="K55" s="124"/>
      <c r="L55" s="124"/>
      <c r="M55" s="124"/>
      <c r="N55" s="124"/>
      <c r="O55" s="124"/>
      <c r="P55" s="124"/>
      <c r="Q55" s="124"/>
      <c r="R55" s="124"/>
      <c r="S55" s="124"/>
      <c r="T55" s="124"/>
      <c r="U55" s="124"/>
      <c r="V55" s="124"/>
      <c r="W55" s="124"/>
      <c r="X55" s="124"/>
      <c r="Y55" s="124"/>
      <c r="Z55" s="124"/>
      <c r="AA55" s="124"/>
      <c r="AB55" s="124"/>
      <c r="AC55" s="124"/>
      <c r="AD55" s="124"/>
      <c r="AE55" s="124"/>
      <c r="AF55" s="124" t="s">
        <v>658</v>
      </c>
      <c r="AG55" s="124" t="s">
        <v>633</v>
      </c>
      <c r="AH55" s="124" t="s">
        <v>736</v>
      </c>
      <c r="AI55" s="127" t="s">
        <v>211</v>
      </c>
    </row>
    <row r="56" spans="1:35" x14ac:dyDescent="0.3">
      <c r="A56" s="124" t="str">
        <f>IF(AND(AQ!$K$14="",AQ!$D$14=""),IF(DB!C55="","",DB!C55),IF(AQ!$D$14="",IF(DB!C55="","",DB!C55),IF(ISERROR(HLOOKUP(AQ!$D$14,$L$1:$AE$24,#REF!,FALSE)),"",IF(HLOOKUP(AQ!$D$14,$L$1:$AE$24,#REF!,FALSE)="","",HLOOKUP(AQ!$D$14,$L$1:$AE$24,#REF!,FALSE)))))</f>
        <v>Pipeline Inspection</v>
      </c>
      <c r="B56" s="124"/>
      <c r="C56" s="124" t="s">
        <v>152</v>
      </c>
      <c r="D56" s="124" t="str">
        <f t="shared" si="0"/>
        <v>CSE Police Equipment</v>
      </c>
      <c r="E56" s="124" t="str">
        <f t="shared" si="1"/>
        <v>Police Equipment</v>
      </c>
      <c r="F56" s="124"/>
      <c r="G56" s="124"/>
      <c r="H56" s="124"/>
      <c r="I56" s="124">
        <f t="shared" si="4"/>
        <v>0</v>
      </c>
      <c r="J56" s="124" t="str">
        <v/>
      </c>
      <c r="K56" s="124"/>
      <c r="L56" s="124"/>
      <c r="M56" s="124"/>
      <c r="N56" s="124"/>
      <c r="O56" s="124"/>
      <c r="P56" s="124"/>
      <c r="Q56" s="124"/>
      <c r="R56" s="124"/>
      <c r="S56" s="124"/>
      <c r="T56" s="124"/>
      <c r="U56" s="124"/>
      <c r="V56" s="124"/>
      <c r="W56" s="124"/>
      <c r="X56" s="124"/>
      <c r="Y56" s="124"/>
      <c r="Z56" s="124"/>
      <c r="AA56" s="124"/>
      <c r="AB56" s="124"/>
      <c r="AC56" s="124"/>
      <c r="AD56" s="124"/>
      <c r="AE56" s="124"/>
      <c r="AF56" s="124" t="s">
        <v>658</v>
      </c>
      <c r="AG56" s="124" t="s">
        <v>617</v>
      </c>
      <c r="AH56" s="124" t="s">
        <v>736</v>
      </c>
      <c r="AI56" s="127" t="s">
        <v>212</v>
      </c>
    </row>
    <row r="57" spans="1:35" x14ac:dyDescent="0.3">
      <c r="A57" s="124" t="str">
        <f>IF(AND(AQ!$K$14="",AQ!$D$14=""),IF(DB!C56="","",DB!C56),IF(AQ!$D$14="",IF(DB!C56="","",DB!C56),IF(ISERROR(HLOOKUP(AQ!$D$14,$L$1:$AE$24,#REF!,FALSE)),"",IF(HLOOKUP(AQ!$D$14,$L$1:$AE$24,#REF!,FALSE)="","",HLOOKUP(AQ!$D$14,$L$1:$AE$24,#REF!,FALSE)))))</f>
        <v>Police Equipment</v>
      </c>
      <c r="B57" s="124"/>
      <c r="C57" s="124" t="s">
        <v>119</v>
      </c>
      <c r="D57" s="124" t="str">
        <f t="shared" si="0"/>
        <v>CSE Pollution Monitoring</v>
      </c>
      <c r="E57" s="124" t="str">
        <f t="shared" si="1"/>
        <v>Pollution Monitoring</v>
      </c>
      <c r="F57" s="124"/>
      <c r="G57" s="124"/>
      <c r="H57" s="124"/>
      <c r="I57" s="124">
        <f t="shared" si="4"/>
        <v>0</v>
      </c>
      <c r="J57" s="124" t="str">
        <v/>
      </c>
      <c r="K57" s="124"/>
      <c r="L57" s="124"/>
      <c r="M57" s="124"/>
      <c r="N57" s="124"/>
      <c r="O57" s="124"/>
      <c r="P57" s="124"/>
      <c r="Q57" s="124"/>
      <c r="R57" s="124"/>
      <c r="S57" s="124"/>
      <c r="T57" s="124"/>
      <c r="U57" s="124"/>
      <c r="V57" s="124"/>
      <c r="W57" s="124"/>
      <c r="X57" s="124"/>
      <c r="Y57" s="124"/>
      <c r="Z57" s="124"/>
      <c r="AA57" s="124"/>
      <c r="AB57" s="124"/>
      <c r="AC57" s="124"/>
      <c r="AD57" s="124"/>
      <c r="AE57" s="124"/>
      <c r="AF57" s="124" t="s">
        <v>658</v>
      </c>
      <c r="AG57" s="124" t="s">
        <v>659</v>
      </c>
      <c r="AH57" s="124" t="s">
        <v>736</v>
      </c>
      <c r="AI57" s="127" t="s">
        <v>213</v>
      </c>
    </row>
    <row r="58" spans="1:35" x14ac:dyDescent="0.3">
      <c r="A58" s="124" t="str">
        <f>IF(AND(AQ!$K$14="",AQ!$D$14=""),IF(DB!C57="","",DB!C57),IF(AQ!$D$14="",IF(DB!C57="","",DB!C57),IF(ISERROR(HLOOKUP(AQ!$D$14,$L$1:$AE$24,#REF!,FALSE)),"",IF(HLOOKUP(AQ!$D$14,$L$1:$AE$24,#REF!,FALSE)="","",HLOOKUP(AQ!$D$14,$L$1:$AE$24,#REF!,FALSE)))))</f>
        <v>Pollution Monitoring</v>
      </c>
      <c r="B58" s="124"/>
      <c r="C58" s="124" t="s">
        <v>575</v>
      </c>
      <c r="D58" s="124" t="str">
        <f t="shared" si="0"/>
        <v>CSE Power Grid Monitoring / Transmission / Distribution</v>
      </c>
      <c r="E58" s="124" t="str">
        <f t="shared" si="1"/>
        <v>Power Grid Monitoring / Transmission / Distribution</v>
      </c>
      <c r="F58" s="124"/>
      <c r="G58" s="124"/>
      <c r="H58" s="124"/>
      <c r="I58" s="124">
        <f t="shared" si="4"/>
        <v>0</v>
      </c>
      <c r="J58" s="124" t="str">
        <v/>
      </c>
      <c r="K58" s="124"/>
      <c r="L58" s="124"/>
      <c r="M58" s="124"/>
      <c r="N58" s="124"/>
      <c r="O58" s="124"/>
      <c r="P58" s="124"/>
      <c r="Q58" s="124"/>
      <c r="R58" s="124"/>
      <c r="S58" s="124"/>
      <c r="T58" s="124"/>
      <c r="U58" s="124"/>
      <c r="V58" s="124"/>
      <c r="W58" s="124"/>
      <c r="X58" s="124"/>
      <c r="Y58" s="124"/>
      <c r="Z58" s="124"/>
      <c r="AA58" s="124"/>
      <c r="AB58" s="124"/>
      <c r="AC58" s="124"/>
      <c r="AD58" s="124"/>
      <c r="AE58" s="124"/>
      <c r="AF58" s="124" t="s">
        <v>658</v>
      </c>
      <c r="AG58" s="124" t="s">
        <v>652</v>
      </c>
      <c r="AH58" s="124" t="s">
        <v>736</v>
      </c>
      <c r="AI58" s="127" t="s">
        <v>214</v>
      </c>
    </row>
    <row r="59" spans="1:35" x14ac:dyDescent="0.3">
      <c r="A59" s="124" t="str">
        <f>IF(AND(AQ!$K$14="",AQ!$D$14=""),IF(DB!C58="","",DB!C58),IF(AQ!$D$14="",IF(DB!C58="","",DB!C58),IF(ISERROR(HLOOKUP(AQ!$D$14,$L$1:$AE$24,#REF!,FALSE)),"",IF(HLOOKUP(AQ!$D$14,$L$1:$AE$24,#REF!,FALSE)="","",HLOOKUP(AQ!$D$14,$L$1:$AE$24,#REF!,FALSE)))))</f>
        <v>Power Grid Monitoring / Transmission / Distribution</v>
      </c>
      <c r="B59" s="124"/>
      <c r="C59" s="124" t="s">
        <v>604</v>
      </c>
      <c r="D59" s="124" t="str">
        <f t="shared" si="0"/>
        <v>CSE Predictive Maintenance Sensor</v>
      </c>
      <c r="E59" s="124" t="str">
        <f t="shared" si="1"/>
        <v>Predictive Maintenance Sensor</v>
      </c>
      <c r="F59" s="124"/>
      <c r="G59" s="124"/>
      <c r="H59" s="124"/>
      <c r="I59" s="124">
        <f t="shared" si="4"/>
        <v>0</v>
      </c>
      <c r="J59" s="124" t="str">
        <v/>
      </c>
      <c r="K59" s="124"/>
      <c r="L59" s="124"/>
      <c r="M59" s="124"/>
      <c r="N59" s="124"/>
      <c r="O59" s="124"/>
      <c r="P59" s="124"/>
      <c r="Q59" s="124"/>
      <c r="R59" s="124"/>
      <c r="S59" s="124"/>
      <c r="T59" s="124"/>
      <c r="U59" s="124"/>
      <c r="V59" s="124"/>
      <c r="W59" s="124"/>
      <c r="X59" s="124"/>
      <c r="Y59" s="124"/>
      <c r="Z59" s="124"/>
      <c r="AA59" s="124"/>
      <c r="AB59" s="124"/>
      <c r="AC59" s="124"/>
      <c r="AD59" s="124"/>
      <c r="AE59" s="124"/>
      <c r="AF59" s="124" t="s">
        <v>658</v>
      </c>
      <c r="AG59" s="124" t="s">
        <v>653</v>
      </c>
      <c r="AH59" s="124" t="s">
        <v>736</v>
      </c>
      <c r="AI59" s="127" t="s">
        <v>215</v>
      </c>
    </row>
    <row r="60" spans="1:35" x14ac:dyDescent="0.3">
      <c r="A60" s="124" t="str">
        <f>IF(AND(AQ!$K$14="",AQ!$D$14=""),IF(DB!C59="","",DB!C59),IF(AQ!$D$14="",IF(DB!C59="","",DB!C59),IF(ISERROR(HLOOKUP(AQ!$D$14,$L$1:$AE$24,#REF!,FALSE)),"",IF(HLOOKUP(AQ!$D$14,$L$1:$AE$24,#REF!,FALSE)="","",HLOOKUP(AQ!$D$14,$L$1:$AE$24,#REF!,FALSE)))))</f>
        <v>Predictive Maintenance Sensor</v>
      </c>
      <c r="B60" s="124"/>
      <c r="C60" s="124" t="s">
        <v>593</v>
      </c>
      <c r="D60" s="124" t="str">
        <f t="shared" si="0"/>
        <v>CSE Presence detection</v>
      </c>
      <c r="E60" s="124" t="str">
        <f t="shared" si="1"/>
        <v>Presence detection</v>
      </c>
      <c r="F60" s="124"/>
      <c r="G60" s="124"/>
      <c r="H60" s="124"/>
      <c r="I60" s="124">
        <f t="shared" si="4"/>
        <v>0</v>
      </c>
      <c r="J60" s="124" t="str">
        <v/>
      </c>
      <c r="K60" s="124"/>
      <c r="L60" s="124"/>
      <c r="M60" s="124"/>
      <c r="N60" s="124"/>
      <c r="O60" s="124"/>
      <c r="P60" s="124"/>
      <c r="Q60" s="124"/>
      <c r="R60" s="124"/>
      <c r="S60" s="124"/>
      <c r="T60" s="124"/>
      <c r="U60" s="124"/>
      <c r="V60" s="124"/>
      <c r="W60" s="124"/>
      <c r="X60" s="124"/>
      <c r="Y60" s="124"/>
      <c r="Z60" s="124"/>
      <c r="AA60" s="124"/>
      <c r="AB60" s="124"/>
      <c r="AC60" s="124"/>
      <c r="AD60" s="124"/>
      <c r="AE60" s="124"/>
      <c r="AF60" s="124" t="s">
        <v>658</v>
      </c>
      <c r="AG60" s="124" t="s">
        <v>660</v>
      </c>
      <c r="AH60" s="124" t="s">
        <v>736</v>
      </c>
      <c r="AI60" s="127" t="s">
        <v>216</v>
      </c>
    </row>
    <row r="61" spans="1:35" x14ac:dyDescent="0.3">
      <c r="A61" s="124" t="str">
        <f>IF(AND(AQ!$K$14="",AQ!$D$14=""),IF(DB!C60="","",DB!C60),IF(AQ!$D$14="",IF(DB!C60="","",DB!C60),IF(ISERROR(HLOOKUP(AQ!$D$14,$L$1:$AE$24,#REF!,FALSE)),"",IF(HLOOKUP(AQ!$D$14,$L$1:$AE$24,#REF!,FALSE)="","",HLOOKUP(AQ!$D$14,$L$1:$AE$24,#REF!,FALSE)))))</f>
        <v>Presence detection</v>
      </c>
      <c r="B61" s="124"/>
      <c r="C61" s="124" t="s">
        <v>608</v>
      </c>
      <c r="D61" s="124" t="str">
        <f t="shared" si="0"/>
        <v>CSE Programmable Logic Controller (PLC)</v>
      </c>
      <c r="E61" s="124" t="str">
        <f t="shared" si="1"/>
        <v>Programmable Logic Controller (PLC)</v>
      </c>
      <c r="F61" s="124"/>
      <c r="G61" s="124"/>
      <c r="H61" s="124"/>
      <c r="I61" s="124">
        <f t="shared" si="4"/>
        <v>0</v>
      </c>
      <c r="J61" s="124" t="str">
        <v/>
      </c>
      <c r="K61" s="124"/>
      <c r="L61" s="124"/>
      <c r="M61" s="124"/>
      <c r="N61" s="124"/>
      <c r="O61" s="124"/>
      <c r="P61" s="124"/>
      <c r="Q61" s="124"/>
      <c r="R61" s="124"/>
      <c r="S61" s="124"/>
      <c r="T61" s="124"/>
      <c r="U61" s="124"/>
      <c r="V61" s="124"/>
      <c r="W61" s="124"/>
      <c r="X61" s="124"/>
      <c r="Y61" s="124"/>
      <c r="Z61" s="124"/>
      <c r="AA61" s="124"/>
      <c r="AB61" s="124"/>
      <c r="AC61" s="124"/>
      <c r="AD61" s="124"/>
      <c r="AE61" s="124"/>
      <c r="AF61" s="124" t="s">
        <v>658</v>
      </c>
      <c r="AG61" s="124" t="s">
        <v>619</v>
      </c>
      <c r="AH61" s="124" t="s">
        <v>736</v>
      </c>
      <c r="AI61" s="127" t="s">
        <v>217</v>
      </c>
    </row>
    <row r="62" spans="1:35" x14ac:dyDescent="0.3">
      <c r="A62" s="124" t="str">
        <f>IF(AND(AQ!$K$14="",AQ!$D$14=""),IF(DB!C61="","",DB!C61),IF(AQ!$D$14="",IF(DB!C61="","",DB!C61),IF(ISERROR(HLOOKUP(AQ!$D$14,$L$1:$AE$24,#REF!,FALSE)),"",IF(HLOOKUP(AQ!$D$14,$L$1:$AE$24,#REF!,FALSE)="","",HLOOKUP(AQ!$D$14,$L$1:$AE$24,#REF!,FALSE)))))</f>
        <v>Programmable Logic Controller (PLC)</v>
      </c>
      <c r="B62" s="124"/>
      <c r="C62" s="124" t="s">
        <v>153</v>
      </c>
      <c r="D62" s="124" t="str">
        <f t="shared" si="0"/>
        <v>CSE Radiocommunications</v>
      </c>
      <c r="E62" s="124" t="str">
        <f t="shared" si="1"/>
        <v>Radiocommunications</v>
      </c>
      <c r="F62" s="124"/>
      <c r="G62" s="124"/>
      <c r="H62" s="124"/>
      <c r="I62" s="124">
        <f t="shared" si="4"/>
        <v>0</v>
      </c>
      <c r="J62" s="124" t="str" cm="1">
        <f t="array" ref="J62:J81">TRANSPOSE(L30:AE30)</f>
        <v/>
      </c>
      <c r="K62" s="124"/>
      <c r="L62" s="124"/>
      <c r="M62" s="124"/>
      <c r="N62" s="124"/>
      <c r="O62" s="124"/>
      <c r="P62" s="124"/>
      <c r="Q62" s="124"/>
      <c r="R62" s="124"/>
      <c r="S62" s="124"/>
      <c r="T62" s="124"/>
      <c r="U62" s="124"/>
      <c r="V62" s="124"/>
      <c r="W62" s="124"/>
      <c r="X62" s="124"/>
      <c r="Y62" s="124"/>
      <c r="Z62" s="124"/>
      <c r="AA62" s="124"/>
      <c r="AB62" s="124"/>
      <c r="AC62" s="124"/>
      <c r="AD62" s="124"/>
      <c r="AE62" s="124"/>
      <c r="AF62" s="124" t="s">
        <v>658</v>
      </c>
      <c r="AG62" s="124" t="s">
        <v>661</v>
      </c>
      <c r="AH62" s="124" t="s">
        <v>736</v>
      </c>
      <c r="AI62" s="127" t="s">
        <v>218</v>
      </c>
    </row>
    <row r="63" spans="1:35" x14ac:dyDescent="0.3">
      <c r="A63" s="124" t="str">
        <f>IF(AND(AQ!$K$14="",AQ!$D$14=""),IF(DB!C62="","",DB!C62),IF(AQ!$D$14="",IF(DB!C62="","",DB!C62),IF(ISERROR(HLOOKUP(AQ!$D$14,$L$1:$AE$24,#REF!,FALSE)),"",IF(HLOOKUP(AQ!$D$14,$L$1:$AE$24,#REF!,FALSE)="","",HLOOKUP(AQ!$D$14,$L$1:$AE$24,#REF!,FALSE)))))</f>
        <v>Radiocommunications</v>
      </c>
      <c r="B63" s="124"/>
      <c r="C63" s="124" t="s">
        <v>576</v>
      </c>
      <c r="D63" s="124" t="str">
        <f t="shared" si="0"/>
        <v>CSE Rail Freight Sensor</v>
      </c>
      <c r="E63" s="124" t="str">
        <f t="shared" si="1"/>
        <v>Rail Freight Sensor</v>
      </c>
      <c r="F63" s="124"/>
      <c r="G63" s="124"/>
      <c r="H63" s="124"/>
      <c r="I63" s="124">
        <f t="shared" si="4"/>
        <v>0</v>
      </c>
      <c r="J63" s="124" t="str">
        <v/>
      </c>
      <c r="K63" s="124"/>
      <c r="L63" s="124"/>
      <c r="M63" s="124"/>
      <c r="N63" s="124"/>
      <c r="O63" s="124"/>
      <c r="P63" s="124"/>
      <c r="Q63" s="124"/>
      <c r="R63" s="124"/>
      <c r="S63" s="124"/>
      <c r="T63" s="124"/>
      <c r="U63" s="124"/>
      <c r="V63" s="124"/>
      <c r="W63" s="124"/>
      <c r="X63" s="124"/>
      <c r="Y63" s="124"/>
      <c r="Z63" s="124"/>
      <c r="AA63" s="124"/>
      <c r="AB63" s="124"/>
      <c r="AC63" s="124"/>
      <c r="AD63" s="124"/>
      <c r="AE63" s="124"/>
      <c r="AF63" s="124" t="s">
        <v>658</v>
      </c>
      <c r="AG63" s="124" t="s">
        <v>622</v>
      </c>
      <c r="AH63" s="124" t="s">
        <v>736</v>
      </c>
      <c r="AI63" s="127" t="s">
        <v>219</v>
      </c>
    </row>
    <row r="64" spans="1:35" x14ac:dyDescent="0.3">
      <c r="A64" s="124" t="str">
        <f>IF(AND(AQ!$K$14="",AQ!$D$14=""),IF(DB!C63="","",DB!C63),IF(AQ!$D$14="",IF(DB!C63="","",DB!C63),IF(ISERROR(HLOOKUP(AQ!$D$14,$L$1:$AE$24,#REF!,FALSE)),"",IF(HLOOKUP(AQ!$D$14,$L$1:$AE$24,#REF!,FALSE)="","",HLOOKUP(AQ!$D$14,$L$1:$AE$24,#REF!,FALSE)))))</f>
        <v>Rail Freight Sensor</v>
      </c>
      <c r="B64" s="124"/>
      <c r="C64" s="124" t="s">
        <v>585</v>
      </c>
      <c r="D64" s="124" t="str">
        <f t="shared" ref="D64:D91" si="6">CONCATENATE("CSE ",C64)</f>
        <v>CSE Rail Infrastructure Sensor</v>
      </c>
      <c r="E64" s="124" t="str">
        <f t="shared" ref="E64:E90" si="7">C64</f>
        <v>Rail Infrastructure Sensor</v>
      </c>
      <c r="F64" s="124"/>
      <c r="G64" s="124"/>
      <c r="H64" s="124"/>
      <c r="I64" s="124">
        <f t="shared" si="4"/>
        <v>0</v>
      </c>
      <c r="J64" s="124" t="str">
        <v/>
      </c>
      <c r="K64" s="124"/>
      <c r="L64" s="124"/>
      <c r="M64" s="124"/>
      <c r="N64" s="124"/>
      <c r="O64" s="124"/>
      <c r="P64" s="124"/>
      <c r="Q64" s="124"/>
      <c r="R64" s="124"/>
      <c r="S64" s="124"/>
      <c r="T64" s="124"/>
      <c r="U64" s="124"/>
      <c r="V64" s="124"/>
      <c r="W64" s="124"/>
      <c r="X64" s="124"/>
      <c r="Y64" s="124"/>
      <c r="Z64" s="124"/>
      <c r="AA64" s="124"/>
      <c r="AB64" s="124"/>
      <c r="AC64" s="124"/>
      <c r="AD64" s="124"/>
      <c r="AE64" s="124"/>
      <c r="AF64" s="124" t="s">
        <v>658</v>
      </c>
      <c r="AG64" s="124" t="s">
        <v>655</v>
      </c>
      <c r="AH64" s="124" t="s">
        <v>736</v>
      </c>
      <c r="AI64" s="127" t="s">
        <v>220</v>
      </c>
    </row>
    <row r="65" spans="1:35" x14ac:dyDescent="0.3">
      <c r="A65" s="124" t="str">
        <f>IF(AND(AQ!$K$14="",AQ!$D$14=""),IF(DB!C64="","",DB!C64),IF(AQ!$D$14="",IF(DB!C64="","",DB!C64),IF(ISERROR(HLOOKUP(AQ!$D$14,$L$1:$AE$24,#REF!,FALSE)),"",IF(HLOOKUP(AQ!$D$14,$L$1:$AE$24,#REF!,FALSE)="","",HLOOKUP(AQ!$D$14,$L$1:$AE$24,#REF!,FALSE)))))</f>
        <v>Rail Infrastructure Sensor</v>
      </c>
      <c r="B65" s="124"/>
      <c r="C65" s="124" t="s">
        <v>141</v>
      </c>
      <c r="D65" s="124" t="str">
        <f t="shared" si="6"/>
        <v>CSE Respiration &amp; Ventilation</v>
      </c>
      <c r="E65" s="124" t="str">
        <f t="shared" si="7"/>
        <v>Respiration &amp; Ventilation</v>
      </c>
      <c r="F65" s="124"/>
      <c r="G65" s="124"/>
      <c r="H65" s="124"/>
      <c r="I65" s="124">
        <f t="shared" si="4"/>
        <v>0</v>
      </c>
      <c r="J65" s="124" t="str">
        <v/>
      </c>
      <c r="K65" s="124"/>
      <c r="L65" s="124"/>
      <c r="M65" s="124"/>
      <c r="N65" s="124"/>
      <c r="O65" s="124"/>
      <c r="P65" s="124"/>
      <c r="Q65" s="124"/>
      <c r="R65" s="124"/>
      <c r="S65" s="124"/>
      <c r="T65" s="124"/>
      <c r="U65" s="124"/>
      <c r="V65" s="124"/>
      <c r="W65" s="124"/>
      <c r="X65" s="124"/>
      <c r="Y65" s="124"/>
      <c r="Z65" s="124"/>
      <c r="AA65" s="124"/>
      <c r="AB65" s="124"/>
      <c r="AC65" s="124"/>
      <c r="AD65" s="124"/>
      <c r="AE65" s="124"/>
      <c r="AF65" s="124" t="s">
        <v>658</v>
      </c>
      <c r="AG65" s="124" t="s">
        <v>656</v>
      </c>
      <c r="AH65" s="124" t="s">
        <v>736</v>
      </c>
      <c r="AI65" s="127" t="s">
        <v>221</v>
      </c>
    </row>
    <row r="66" spans="1:35" x14ac:dyDescent="0.3">
      <c r="A66" s="124" t="str">
        <f>IF(AND(AQ!$K$14="",AQ!$D$14=""),IF(DB!C65="","",DB!C65),IF(AQ!$D$14="",IF(DB!C65="","",DB!C65),IF(ISERROR(HLOOKUP(AQ!$D$14,$L$1:$AE$24,#REF!,FALSE)),"",IF(HLOOKUP(AQ!$D$14,$L$1:$AE$24,#REF!,FALSE)="","",HLOOKUP(AQ!$D$14,$L$1:$AE$24,#REF!,FALSE)))))</f>
        <v>Respiration &amp; Ventilation</v>
      </c>
      <c r="B66" s="124"/>
      <c r="C66" s="124" t="s">
        <v>138</v>
      </c>
      <c r="D66" s="124" t="str">
        <f t="shared" si="6"/>
        <v>CSE RFID</v>
      </c>
      <c r="E66" s="124" t="str">
        <f t="shared" si="7"/>
        <v>RFID</v>
      </c>
      <c r="F66" s="124"/>
      <c r="G66" s="124"/>
      <c r="H66" s="124"/>
      <c r="I66" s="124">
        <f t="shared" si="4"/>
        <v>0</v>
      </c>
      <c r="J66" s="124" t="str">
        <v/>
      </c>
      <c r="K66" s="124"/>
      <c r="L66" s="124"/>
      <c r="M66" s="124"/>
      <c r="N66" s="124"/>
      <c r="O66" s="124"/>
      <c r="P66" s="124"/>
      <c r="Q66" s="124"/>
      <c r="R66" s="124"/>
      <c r="S66" s="124"/>
      <c r="T66" s="124"/>
      <c r="U66" s="124"/>
      <c r="V66" s="124"/>
      <c r="W66" s="124"/>
      <c r="X66" s="124"/>
      <c r="Y66" s="124"/>
      <c r="Z66" s="124"/>
      <c r="AA66" s="124"/>
      <c r="AB66" s="124"/>
      <c r="AC66" s="124"/>
      <c r="AD66" s="124"/>
      <c r="AE66" s="124"/>
      <c r="AF66" s="124" t="s">
        <v>658</v>
      </c>
      <c r="AG66" s="124" t="s">
        <v>662</v>
      </c>
      <c r="AH66" s="124" t="s">
        <v>736</v>
      </c>
      <c r="AI66" s="127" t="s">
        <v>222</v>
      </c>
    </row>
    <row r="67" spans="1:35" x14ac:dyDescent="0.3">
      <c r="A67" s="124" t="str">
        <f>IF(AND(AQ!$K$14="",AQ!$D$14=""),IF(DB!C66="","",DB!C66),IF(AQ!$D$14="",IF(DB!C66="","",DB!C66),IF(ISERROR(HLOOKUP(AQ!$D$14,$L$1:$AE$24,#REF!,FALSE)),"",IF(HLOOKUP(AQ!$D$14,$L$1:$AE$24,#REF!,FALSE)="","",HLOOKUP(AQ!$D$14,$L$1:$AE$24,#REF!,FALSE)))))</f>
        <v>RFID</v>
      </c>
      <c r="B67" s="124"/>
      <c r="C67" s="124" t="s">
        <v>588</v>
      </c>
      <c r="D67" s="124" t="str">
        <f t="shared" si="6"/>
        <v>CSE Robots &amp; Remotely Operated Vehicles</v>
      </c>
      <c r="E67" s="124" t="str">
        <f t="shared" si="7"/>
        <v>Robots &amp; Remotely Operated Vehicles</v>
      </c>
      <c r="F67" s="124"/>
      <c r="G67" s="124"/>
      <c r="H67" s="124"/>
      <c r="I67" s="124">
        <f t="shared" ref="I67:I130" si="8">IF(J67="",I66,I66+1)</f>
        <v>0</v>
      </c>
      <c r="J67" s="124" t="str">
        <v/>
      </c>
      <c r="K67" s="124"/>
      <c r="L67" s="124"/>
      <c r="M67" s="124"/>
      <c r="N67" s="124"/>
      <c r="O67" s="124"/>
      <c r="P67" s="124"/>
      <c r="Q67" s="124"/>
      <c r="R67" s="124"/>
      <c r="S67" s="124"/>
      <c r="T67" s="124"/>
      <c r="U67" s="124"/>
      <c r="V67" s="124"/>
      <c r="W67" s="124"/>
      <c r="X67" s="124"/>
      <c r="Y67" s="124"/>
      <c r="Z67" s="124"/>
      <c r="AA67" s="124"/>
      <c r="AB67" s="124"/>
      <c r="AC67" s="124"/>
      <c r="AD67" s="124"/>
      <c r="AE67" s="124"/>
      <c r="AF67" s="124" t="s">
        <v>663</v>
      </c>
      <c r="AG67" s="124" t="s">
        <v>664</v>
      </c>
      <c r="AH67" s="124" t="s">
        <v>737</v>
      </c>
      <c r="AI67" s="127" t="s">
        <v>223</v>
      </c>
    </row>
    <row r="68" spans="1:35" x14ac:dyDescent="0.3">
      <c r="A68" s="124" t="str">
        <f>IF(AND(AQ!$K$14="",AQ!$D$14=""),IF(DB!C67="","",DB!C67),IF(AQ!$D$14="",IF(DB!C67="","",DB!C67),IF(ISERROR(HLOOKUP(AQ!$D$14,$L$1:$AE$24,#REF!,FALSE)),"",IF(HLOOKUP(AQ!$D$14,$L$1:$AE$24,#REF!,FALSE)="","",HLOOKUP(AQ!$D$14,$L$1:$AE$24,#REF!,FALSE)))))</f>
        <v>Robots &amp; Remotely Operated Vehicles</v>
      </c>
      <c r="B68" s="124"/>
      <c r="C68" s="124" t="s">
        <v>137</v>
      </c>
      <c r="D68" s="124" t="str">
        <f t="shared" si="6"/>
        <v>CSE Safe Locks</v>
      </c>
      <c r="E68" s="124" t="str">
        <f t="shared" si="7"/>
        <v>Safe Locks</v>
      </c>
      <c r="F68" s="124"/>
      <c r="G68" s="124"/>
      <c r="H68" s="124"/>
      <c r="I68" s="124">
        <f t="shared" si="8"/>
        <v>0</v>
      </c>
      <c r="J68" s="124" t="str">
        <v/>
      </c>
      <c r="K68" s="124"/>
      <c r="L68" s="124"/>
      <c r="M68" s="124"/>
      <c r="N68" s="124"/>
      <c r="O68" s="124"/>
      <c r="P68" s="124"/>
      <c r="Q68" s="124"/>
      <c r="R68" s="124"/>
      <c r="S68" s="124"/>
      <c r="T68" s="124"/>
      <c r="U68" s="124"/>
      <c r="V68" s="124"/>
      <c r="W68" s="124"/>
      <c r="X68" s="124"/>
      <c r="Y68" s="124"/>
      <c r="Z68" s="124"/>
      <c r="AA68" s="124"/>
      <c r="AB68" s="124"/>
      <c r="AC68" s="124"/>
      <c r="AD68" s="124"/>
      <c r="AE68" s="124"/>
      <c r="AF68" s="124" t="s">
        <v>663</v>
      </c>
      <c r="AG68" s="124" t="s">
        <v>665</v>
      </c>
      <c r="AH68" s="124" t="s">
        <v>737</v>
      </c>
      <c r="AI68" s="127" t="s">
        <v>224</v>
      </c>
    </row>
    <row r="69" spans="1:35" x14ac:dyDescent="0.3">
      <c r="A69" s="124" t="str">
        <f>IF(AND(AQ!$K$14="",AQ!$D$14=""),IF(DB!C68="","",DB!C68),IF(AQ!$D$14="",IF(DB!C68="","",DB!C68),IF(ISERROR(HLOOKUP(AQ!$D$14,$L$1:$AE$24,#REF!,FALSE)),"",IF(HLOOKUP(AQ!$D$14,$L$1:$AE$24,#REF!,FALSE)="","",HLOOKUP(AQ!$D$14,$L$1:$AE$24,#REF!,FALSE)))))</f>
        <v>Safe Locks</v>
      </c>
      <c r="B69" s="124"/>
      <c r="C69" s="124" t="s">
        <v>145</v>
      </c>
      <c r="D69" s="124" t="str">
        <f t="shared" si="6"/>
        <v>CSE Safety Jackets</v>
      </c>
      <c r="E69" s="124" t="str">
        <f t="shared" si="7"/>
        <v>Safety Jackets</v>
      </c>
      <c r="F69" s="124"/>
      <c r="G69" s="124"/>
      <c r="H69" s="124"/>
      <c r="I69" s="124">
        <f t="shared" si="8"/>
        <v>0</v>
      </c>
      <c r="J69" s="124" t="str">
        <v/>
      </c>
      <c r="K69" s="124"/>
      <c r="L69" s="124"/>
      <c r="M69" s="124"/>
      <c r="N69" s="124"/>
      <c r="O69" s="124"/>
      <c r="P69" s="124"/>
      <c r="Q69" s="124"/>
      <c r="R69" s="124"/>
      <c r="S69" s="124"/>
      <c r="T69" s="124"/>
      <c r="U69" s="124"/>
      <c r="V69" s="124"/>
      <c r="W69" s="124"/>
      <c r="X69" s="124"/>
      <c r="Y69" s="124"/>
      <c r="Z69" s="124"/>
      <c r="AA69" s="124"/>
      <c r="AB69" s="124"/>
      <c r="AC69" s="124"/>
      <c r="AD69" s="124"/>
      <c r="AE69" s="124"/>
      <c r="AF69" s="124" t="s">
        <v>663</v>
      </c>
      <c r="AG69" s="124" t="s">
        <v>666</v>
      </c>
      <c r="AH69" s="124" t="s">
        <v>737</v>
      </c>
      <c r="AI69" s="127" t="s">
        <v>225</v>
      </c>
    </row>
    <row r="70" spans="1:35" x14ac:dyDescent="0.3">
      <c r="A70" s="124" t="str">
        <f>IF(AND(AQ!$K$14="",AQ!$D$14=""),IF(DB!C69="","",DB!C69),IF(AQ!$D$14="",IF(DB!C69="","",DB!C69),IF(ISERROR(HLOOKUP(AQ!$D$14,$L$1:$AE$24,#REF!,FALSE)),"",IF(HLOOKUP(AQ!$D$14,$L$1:$AE$24,#REF!,FALSE)="","",HLOOKUP(AQ!$D$14,$L$1:$AE$24,#REF!,FALSE)))))</f>
        <v>Safety Jackets</v>
      </c>
      <c r="B70" s="124"/>
      <c r="C70" s="124" t="s">
        <v>148</v>
      </c>
      <c r="D70" s="124" t="str">
        <f t="shared" si="6"/>
        <v>CSE Safety Pyrotechnics Devices</v>
      </c>
      <c r="E70" s="124" t="str">
        <f t="shared" si="7"/>
        <v>Safety Pyrotechnics Devices</v>
      </c>
      <c r="F70" s="124"/>
      <c r="G70" s="124"/>
      <c r="H70" s="124"/>
      <c r="I70" s="124">
        <f t="shared" si="8"/>
        <v>0</v>
      </c>
      <c r="J70" s="124" t="str">
        <v/>
      </c>
      <c r="K70" s="124"/>
      <c r="L70" s="124"/>
      <c r="M70" s="124"/>
      <c r="N70" s="124"/>
      <c r="O70" s="124"/>
      <c r="P70" s="124"/>
      <c r="Q70" s="124"/>
      <c r="R70" s="124"/>
      <c r="S70" s="124"/>
      <c r="T70" s="124"/>
      <c r="U70" s="124"/>
      <c r="V70" s="124"/>
      <c r="W70" s="124"/>
      <c r="X70" s="124"/>
      <c r="Y70" s="124"/>
      <c r="Z70" s="124"/>
      <c r="AA70" s="124"/>
      <c r="AB70" s="124"/>
      <c r="AC70" s="124"/>
      <c r="AD70" s="124"/>
      <c r="AE70" s="124"/>
      <c r="AF70" s="124" t="s">
        <v>663</v>
      </c>
      <c r="AG70" s="124" t="s">
        <v>650</v>
      </c>
      <c r="AH70" s="124" t="s">
        <v>737</v>
      </c>
      <c r="AI70" s="127" t="s">
        <v>226</v>
      </c>
    </row>
    <row r="71" spans="1:35" x14ac:dyDescent="0.3">
      <c r="A71" s="124" t="str">
        <f>IF(AND(AQ!$K$14="",AQ!$D$14=""),IF(DB!C70="","",DB!C70),IF(AQ!$D$14="",IF(DB!C70="","",DB!C70),IF(ISERROR(HLOOKUP(AQ!$D$14,$L$1:$AE$24,#REF!,FALSE)),"",IF(HLOOKUP(AQ!$D$14,$L$1:$AE$24,#REF!,FALSE)="","",HLOOKUP(AQ!$D$14,$L$1:$AE$24,#REF!,FALSE)))))</f>
        <v>Safety Pyrotechnics Devices</v>
      </c>
      <c r="B71" s="124"/>
      <c r="C71" s="124" t="s">
        <v>595</v>
      </c>
      <c r="D71" s="124" t="str">
        <f t="shared" si="6"/>
        <v>CSE Seismic Sensor</v>
      </c>
      <c r="E71" s="124" t="str">
        <f t="shared" si="7"/>
        <v>Seismic Sensor</v>
      </c>
      <c r="F71" s="124"/>
      <c r="G71" s="124"/>
      <c r="H71" s="124"/>
      <c r="I71" s="124">
        <f t="shared" si="8"/>
        <v>0</v>
      </c>
      <c r="J71" s="124" t="str">
        <v/>
      </c>
      <c r="K71" s="124"/>
      <c r="L71" s="124"/>
      <c r="M71" s="124"/>
      <c r="N71" s="124"/>
      <c r="O71" s="124"/>
      <c r="P71" s="124"/>
      <c r="Q71" s="124"/>
      <c r="R71" s="124"/>
      <c r="S71" s="124"/>
      <c r="T71" s="124"/>
      <c r="U71" s="124"/>
      <c r="V71" s="124"/>
      <c r="W71" s="124"/>
      <c r="X71" s="124"/>
      <c r="Y71" s="124"/>
      <c r="Z71" s="124"/>
      <c r="AA71" s="124"/>
      <c r="AB71" s="124"/>
      <c r="AC71" s="124"/>
      <c r="AD71" s="124"/>
      <c r="AE71" s="124"/>
      <c r="AF71" s="124" t="s">
        <v>663</v>
      </c>
      <c r="AG71" s="124" t="s">
        <v>630</v>
      </c>
      <c r="AH71" s="124" t="s">
        <v>737</v>
      </c>
      <c r="AI71" s="127" t="s">
        <v>227</v>
      </c>
    </row>
    <row r="72" spans="1:35" x14ac:dyDescent="0.3">
      <c r="A72" s="124" t="str">
        <f>IF(AND(AQ!$K$14="",AQ!$D$14=""),IF(DB!C71="","",DB!C71),IF(AQ!$D$14="",IF(DB!C71="","",DB!C71),IF(ISERROR(HLOOKUP(AQ!$D$14,$L$1:$AE$24,#REF!,FALSE)),"",IF(HLOOKUP(AQ!$D$14,$L$1:$AE$24,#REF!,FALSE)="","",HLOOKUP(AQ!$D$14,$L$1:$AE$24,#REF!,FALSE)))))</f>
        <v>Seismic Sensor</v>
      </c>
      <c r="B72" s="124"/>
      <c r="C72" s="124" t="s">
        <v>607</v>
      </c>
      <c r="D72" s="124" t="str">
        <f t="shared" si="6"/>
        <v>CSE Sewer Monitoring</v>
      </c>
      <c r="E72" s="124" t="str">
        <f t="shared" si="7"/>
        <v>Sewer Monitoring</v>
      </c>
      <c r="F72" s="124"/>
      <c r="G72" s="124"/>
      <c r="H72" s="124"/>
      <c r="I72" s="124">
        <f t="shared" si="8"/>
        <v>0</v>
      </c>
      <c r="J72" s="124" t="str">
        <v/>
      </c>
      <c r="K72" s="124"/>
      <c r="L72" s="124"/>
      <c r="M72" s="124"/>
      <c r="N72" s="124"/>
      <c r="O72" s="124"/>
      <c r="P72" s="124"/>
      <c r="Q72" s="124"/>
      <c r="R72" s="124"/>
      <c r="S72" s="124"/>
      <c r="T72" s="124"/>
      <c r="U72" s="124"/>
      <c r="V72" s="124"/>
      <c r="W72" s="124"/>
      <c r="X72" s="124"/>
      <c r="Y72" s="124"/>
      <c r="Z72" s="124"/>
      <c r="AA72" s="124"/>
      <c r="AB72" s="124"/>
      <c r="AC72" s="124"/>
      <c r="AD72" s="124"/>
      <c r="AE72" s="124"/>
      <c r="AF72" s="124" t="s">
        <v>663</v>
      </c>
      <c r="AG72" s="124" t="s">
        <v>667</v>
      </c>
      <c r="AH72" s="124" t="s">
        <v>737</v>
      </c>
      <c r="AI72" s="127" t="s">
        <v>228</v>
      </c>
    </row>
    <row r="73" spans="1:35" x14ac:dyDescent="0.3">
      <c r="A73" s="124" t="str">
        <f>IF(AND(AQ!$K$14="",AQ!$D$14=""),IF(DB!C72="","",DB!C72),IF(AQ!$D$14="",IF(DB!C72="","",DB!C72),IF(ISERROR(HLOOKUP(AQ!$D$14,$L$1:$AE$24,#REF!,FALSE)),"",IF(HLOOKUP(AQ!$D$14,$L$1:$AE$24,#REF!,FALSE)="","",HLOOKUP(AQ!$D$14,$L$1:$AE$24,#REF!,FALSE)))))</f>
        <v>Sewer Monitoring</v>
      </c>
      <c r="B73" s="124"/>
      <c r="C73" s="124" t="s">
        <v>151</v>
      </c>
      <c r="D73" s="124" t="str">
        <f t="shared" si="6"/>
        <v>CSE Shuttles</v>
      </c>
      <c r="E73" s="124" t="str">
        <f t="shared" si="7"/>
        <v>Shuttles</v>
      </c>
      <c r="F73" s="124"/>
      <c r="G73" s="124"/>
      <c r="H73" s="124"/>
      <c r="I73" s="124">
        <f t="shared" si="8"/>
        <v>0</v>
      </c>
      <c r="J73" s="124" t="str">
        <v/>
      </c>
      <c r="K73" s="124"/>
      <c r="L73" s="124"/>
      <c r="M73" s="124"/>
      <c r="N73" s="124"/>
      <c r="O73" s="124"/>
      <c r="P73" s="124"/>
      <c r="Q73" s="124"/>
      <c r="R73" s="124"/>
      <c r="S73" s="124"/>
      <c r="T73" s="124"/>
      <c r="U73" s="124"/>
      <c r="V73" s="124"/>
      <c r="W73" s="124"/>
      <c r="X73" s="124"/>
      <c r="Y73" s="124"/>
      <c r="Z73" s="124"/>
      <c r="AA73" s="124"/>
      <c r="AB73" s="124"/>
      <c r="AC73" s="124"/>
      <c r="AD73" s="124"/>
      <c r="AE73" s="124"/>
      <c r="AF73" s="124" t="s">
        <v>663</v>
      </c>
      <c r="AG73" s="124" t="s">
        <v>668</v>
      </c>
      <c r="AH73" s="124" t="s">
        <v>737</v>
      </c>
      <c r="AI73" s="127" t="s">
        <v>229</v>
      </c>
    </row>
    <row r="74" spans="1:35" x14ac:dyDescent="0.3">
      <c r="A74" s="124" t="str">
        <f>IF(AND(AQ!$K$14="",AQ!$D$14=""),IF(DB!C73="","",DB!C73),IF(AQ!$D$14="",IF(DB!C73="","",DB!C73),IF(ISERROR(HLOOKUP(AQ!$D$14,$L$1:$AE$24,#REF!,FALSE)),"",IF(HLOOKUP(AQ!$D$14,$L$1:$AE$24,#REF!,FALSE)="","",HLOOKUP(AQ!$D$14,$L$1:$AE$24,#REF!,FALSE)))))</f>
        <v>Shuttles</v>
      </c>
      <c r="B74" s="124"/>
      <c r="C74" s="124" t="s">
        <v>597</v>
      </c>
      <c r="D74" s="124" t="str">
        <f t="shared" si="6"/>
        <v>CSE Silo Monitoring</v>
      </c>
      <c r="E74" s="124" t="str">
        <f t="shared" si="7"/>
        <v>Silo Monitoring</v>
      </c>
      <c r="F74" s="124"/>
      <c r="G74" s="124"/>
      <c r="H74" s="124"/>
      <c r="I74" s="124">
        <f t="shared" si="8"/>
        <v>0</v>
      </c>
      <c r="J74" s="124" t="str">
        <v/>
      </c>
      <c r="K74" s="124"/>
      <c r="L74" s="124"/>
      <c r="M74" s="124"/>
      <c r="N74" s="124"/>
      <c r="O74" s="124"/>
      <c r="P74" s="124"/>
      <c r="Q74" s="124"/>
      <c r="R74" s="124"/>
      <c r="S74" s="124"/>
      <c r="T74" s="124"/>
      <c r="U74" s="124"/>
      <c r="V74" s="124"/>
      <c r="W74" s="124"/>
      <c r="X74" s="124"/>
      <c r="Y74" s="124"/>
      <c r="Z74" s="124"/>
      <c r="AA74" s="124"/>
      <c r="AB74" s="124"/>
      <c r="AC74" s="124"/>
      <c r="AD74" s="124"/>
      <c r="AE74" s="124"/>
      <c r="AF74" s="124" t="s">
        <v>663</v>
      </c>
      <c r="AG74" s="124" t="s">
        <v>669</v>
      </c>
      <c r="AH74" s="124" t="s">
        <v>737</v>
      </c>
      <c r="AI74" s="127" t="s">
        <v>230</v>
      </c>
    </row>
    <row r="75" spans="1:35" x14ac:dyDescent="0.3">
      <c r="A75" s="124" t="str">
        <f>IF(AND(AQ!$K$14="",AQ!$D$14=""),IF(DB!C74="","",DB!C74),IF(AQ!$D$14="",IF(DB!C74="","",DB!C74),IF(ISERROR(HLOOKUP(AQ!$D$14,$L$1:$AE$24,#REF!,FALSE)),"",IF(HLOOKUP(AQ!$D$14,$L$1:$AE$24,#REF!,FALSE)="","",HLOOKUP(AQ!$D$14,$L$1:$AE$24,#REF!,FALSE)))))</f>
        <v>Silo Monitoring</v>
      </c>
      <c r="B75" s="124"/>
      <c r="C75" s="124" t="s">
        <v>599</v>
      </c>
      <c r="D75" s="124" t="str">
        <f t="shared" si="6"/>
        <v>CSE Smoke/Fire Detectors</v>
      </c>
      <c r="E75" s="124" t="str">
        <f t="shared" si="7"/>
        <v>Smoke/Fire Detectors</v>
      </c>
      <c r="F75" s="124"/>
      <c r="G75" s="124"/>
      <c r="H75" s="124"/>
      <c r="I75" s="124">
        <f t="shared" si="8"/>
        <v>0</v>
      </c>
      <c r="J75" s="124" t="str">
        <v/>
      </c>
      <c r="K75" s="124"/>
      <c r="L75" s="124"/>
      <c r="M75" s="124"/>
      <c r="N75" s="124"/>
      <c r="O75" s="124"/>
      <c r="P75" s="124"/>
      <c r="Q75" s="124"/>
      <c r="R75" s="124"/>
      <c r="S75" s="124"/>
      <c r="T75" s="124"/>
      <c r="U75" s="124"/>
      <c r="V75" s="124"/>
      <c r="W75" s="124"/>
      <c r="X75" s="124"/>
      <c r="Y75" s="124"/>
      <c r="Z75" s="124"/>
      <c r="AA75" s="124"/>
      <c r="AB75" s="124"/>
      <c r="AC75" s="124"/>
      <c r="AD75" s="124"/>
      <c r="AE75" s="124"/>
      <c r="AF75" s="124" t="s">
        <v>663</v>
      </c>
      <c r="AG75" s="124" t="s">
        <v>670</v>
      </c>
      <c r="AH75" s="124" t="s">
        <v>737</v>
      </c>
      <c r="AI75" s="127" t="s">
        <v>231</v>
      </c>
    </row>
    <row r="76" spans="1:35" x14ac:dyDescent="0.3">
      <c r="A76" s="124" t="str">
        <f>IF(AND(AQ!$K$14="",AQ!$D$14=""),IF(DB!C75="","",DB!C75),IF(AQ!$D$14="",IF(DB!C75="","",DB!C75),IF(ISERROR(HLOOKUP(AQ!$D$14,$L$1:$AE$24,#REF!,FALSE)),"",IF(HLOOKUP(AQ!$D$14,$L$1:$AE$24,#REF!,FALSE)="","",HLOOKUP(AQ!$D$14,$L$1:$AE$24,#REF!,FALSE)))))</f>
        <v>Smoke/Fire Detectors</v>
      </c>
      <c r="B76" s="124"/>
      <c r="C76" s="124" t="s">
        <v>602</v>
      </c>
      <c r="D76" s="124" t="str">
        <f t="shared" si="6"/>
        <v>CSE Soil Monitoring</v>
      </c>
      <c r="E76" s="124" t="str">
        <f t="shared" si="7"/>
        <v>Soil Monitoring</v>
      </c>
      <c r="F76" s="124"/>
      <c r="G76" s="124"/>
      <c r="H76" s="124"/>
      <c r="I76" s="124">
        <f t="shared" si="8"/>
        <v>0</v>
      </c>
      <c r="J76" s="124" t="str">
        <v/>
      </c>
      <c r="K76" s="124"/>
      <c r="L76" s="124"/>
      <c r="M76" s="124"/>
      <c r="N76" s="124"/>
      <c r="O76" s="124"/>
      <c r="P76" s="124"/>
      <c r="Q76" s="124"/>
      <c r="R76" s="124"/>
      <c r="S76" s="124"/>
      <c r="T76" s="124"/>
      <c r="U76" s="124"/>
      <c r="V76" s="124"/>
      <c r="W76" s="124"/>
      <c r="X76" s="124"/>
      <c r="Y76" s="124"/>
      <c r="Z76" s="124"/>
      <c r="AA76" s="124"/>
      <c r="AB76" s="124"/>
      <c r="AC76" s="124"/>
      <c r="AD76" s="124"/>
      <c r="AE76" s="124"/>
      <c r="AF76" s="124" t="s">
        <v>663</v>
      </c>
      <c r="AG76" s="124" t="s">
        <v>636</v>
      </c>
      <c r="AH76" s="124" t="s">
        <v>737</v>
      </c>
      <c r="AI76" s="127" t="s">
        <v>232</v>
      </c>
    </row>
    <row r="77" spans="1:35" x14ac:dyDescent="0.3">
      <c r="A77" s="124" t="str">
        <f>IF(AND(AQ!$K$14="",AQ!$D$14=""),IF(DB!C76="","",DB!C76),IF(AQ!$D$14="",IF(DB!C76="","",DB!C76),IF(ISERROR(HLOOKUP(AQ!$D$14,$L$1:$AE$24,#REF!,FALSE)),"",IF(HLOOKUP(AQ!$D$14,$L$1:$AE$24,#REF!,FALSE)="","",HLOOKUP(AQ!$D$14,$L$1:$AE$24,#REF!,FALSE)))))</f>
        <v>Soil Monitoring</v>
      </c>
      <c r="B77" s="124"/>
      <c r="C77" s="124" t="s">
        <v>111</v>
      </c>
      <c r="D77" s="124" t="str">
        <f t="shared" si="6"/>
        <v>CSE Street Lighting</v>
      </c>
      <c r="E77" s="124" t="str">
        <f t="shared" si="7"/>
        <v>Street Lighting</v>
      </c>
      <c r="F77" s="124"/>
      <c r="G77" s="124"/>
      <c r="H77" s="124"/>
      <c r="I77" s="124">
        <f t="shared" si="8"/>
        <v>0</v>
      </c>
      <c r="J77" s="124" t="str">
        <v/>
      </c>
      <c r="K77" s="124"/>
      <c r="L77" s="124"/>
      <c r="M77" s="124"/>
      <c r="N77" s="124"/>
      <c r="O77" s="124"/>
      <c r="P77" s="124"/>
      <c r="Q77" s="124"/>
      <c r="R77" s="124"/>
      <c r="S77" s="124"/>
      <c r="T77" s="124"/>
      <c r="U77" s="124"/>
      <c r="V77" s="124"/>
      <c r="W77" s="124"/>
      <c r="X77" s="124"/>
      <c r="Y77" s="124"/>
      <c r="Z77" s="124"/>
      <c r="AA77" s="124"/>
      <c r="AB77" s="124"/>
      <c r="AC77" s="124"/>
      <c r="AD77" s="124"/>
      <c r="AE77" s="124"/>
      <c r="AF77" s="124" t="s">
        <v>663</v>
      </c>
      <c r="AG77" s="124" t="s">
        <v>671</v>
      </c>
      <c r="AH77" s="124" t="s">
        <v>737</v>
      </c>
      <c r="AI77" s="127" t="s">
        <v>233</v>
      </c>
    </row>
    <row r="78" spans="1:35" x14ac:dyDescent="0.3">
      <c r="A78" s="124" t="str">
        <f>IF(AND(AQ!$K$14="",AQ!$D$14=""),IF(DB!C77="","",DB!C77),IF(AQ!$D$14="",IF(DB!C77="","",DB!C77),IF(ISERROR(HLOOKUP(AQ!$D$14,$L$1:$AE$24,#REF!,FALSE)),"",IF(HLOOKUP(AQ!$D$14,$L$1:$AE$24,#REF!,FALSE)="","",HLOOKUP(AQ!$D$14,$L$1:$AE$24,#REF!,FALSE)))))</f>
        <v>Street Lighting</v>
      </c>
      <c r="B78" s="124"/>
      <c r="C78" s="124" t="s">
        <v>146</v>
      </c>
      <c r="D78" s="124" t="str">
        <f t="shared" si="6"/>
        <v>CSE Surgery Tools</v>
      </c>
      <c r="E78" s="124" t="str">
        <f t="shared" si="7"/>
        <v>Surgery Tools</v>
      </c>
      <c r="F78" s="124"/>
      <c r="G78" s="124"/>
      <c r="H78" s="124"/>
      <c r="I78" s="124">
        <f t="shared" si="8"/>
        <v>0</v>
      </c>
      <c r="J78" s="124" t="str">
        <v/>
      </c>
      <c r="K78" s="124"/>
      <c r="L78" s="124"/>
      <c r="M78" s="124"/>
      <c r="N78" s="124"/>
      <c r="O78" s="124"/>
      <c r="P78" s="124"/>
      <c r="Q78" s="124"/>
      <c r="R78" s="124"/>
      <c r="S78" s="124"/>
      <c r="T78" s="124"/>
      <c r="U78" s="124"/>
      <c r="V78" s="124"/>
      <c r="W78" s="124"/>
      <c r="X78" s="124"/>
      <c r="Y78" s="124"/>
      <c r="Z78" s="124"/>
      <c r="AA78" s="124"/>
      <c r="AB78" s="124"/>
      <c r="AC78" s="124"/>
      <c r="AD78" s="124"/>
      <c r="AE78" s="124"/>
      <c r="AF78" s="124" t="s">
        <v>663</v>
      </c>
      <c r="AG78" s="124" t="s">
        <v>619</v>
      </c>
      <c r="AH78" s="124" t="s">
        <v>737</v>
      </c>
      <c r="AI78" s="127" t="s">
        <v>234</v>
      </c>
    </row>
    <row r="79" spans="1:35" x14ac:dyDescent="0.3">
      <c r="A79" s="124" t="str">
        <f>IF(AND(AQ!$K$14="",AQ!$D$14=""),IF(DB!C78="","",DB!C78),IF(AQ!$D$14="",IF(DB!C78="","",DB!C78),IF(ISERROR(HLOOKUP(AQ!$D$14,$L$1:$AE$24,#REF!,FALSE)),"",IF(HLOOKUP(AQ!$D$14,$L$1:$AE$24,#REF!,FALSE)="","",HLOOKUP(AQ!$D$14,$L$1:$AE$24,#REF!,FALSE)))))</f>
        <v>Surgery Tools</v>
      </c>
      <c r="B79" s="124"/>
      <c r="C79" s="124" t="s">
        <v>140</v>
      </c>
      <c r="D79" s="124" t="str">
        <f t="shared" si="6"/>
        <v>CSE Tank Monitoring</v>
      </c>
      <c r="E79" s="124" t="str">
        <f t="shared" si="7"/>
        <v>Tank Monitoring</v>
      </c>
      <c r="F79" s="124"/>
      <c r="G79" s="124"/>
      <c r="H79" s="124"/>
      <c r="I79" s="124">
        <f t="shared" si="8"/>
        <v>0</v>
      </c>
      <c r="J79" s="124" t="str">
        <v/>
      </c>
      <c r="K79" s="124"/>
      <c r="L79" s="124"/>
      <c r="M79" s="124"/>
      <c r="N79" s="124"/>
      <c r="O79" s="124"/>
      <c r="P79" s="124"/>
      <c r="Q79" s="124"/>
      <c r="R79" s="124"/>
      <c r="S79" s="124"/>
      <c r="T79" s="124"/>
      <c r="U79" s="124"/>
      <c r="V79" s="124"/>
      <c r="W79" s="124"/>
      <c r="X79" s="124"/>
      <c r="Y79" s="124"/>
      <c r="Z79" s="124"/>
      <c r="AA79" s="124"/>
      <c r="AB79" s="124"/>
      <c r="AC79" s="124"/>
      <c r="AD79" s="124"/>
      <c r="AE79" s="124"/>
      <c r="AF79" s="124" t="s">
        <v>663</v>
      </c>
      <c r="AG79" s="124" t="s">
        <v>637</v>
      </c>
      <c r="AH79" s="124" t="s">
        <v>737</v>
      </c>
      <c r="AI79" s="127" t="s">
        <v>235</v>
      </c>
    </row>
    <row r="80" spans="1:35" x14ac:dyDescent="0.3">
      <c r="A80" s="124" t="str">
        <f>IF(AND(AQ!$K$14="",AQ!$D$14=""),IF(DB!C79="","",DB!C79),IF(AQ!$D$14="",IF(DB!C79="","",DB!C79),IF(ISERROR(HLOOKUP(AQ!$D$14,$L$1:$AE$24,#REF!,FALSE)),"",IF(HLOOKUP(AQ!$D$14,$L$1:$AE$24,#REF!,FALSE)="","",HLOOKUP(AQ!$D$14,$L$1:$AE$24,#REF!,FALSE)))))</f>
        <v>Tank Monitoring</v>
      </c>
      <c r="B80" s="124"/>
      <c r="C80" s="124" t="s">
        <v>605</v>
      </c>
      <c r="D80" s="124" t="str">
        <f t="shared" si="6"/>
        <v>CSE Temperature Monitoring</v>
      </c>
      <c r="E80" s="124" t="str">
        <f t="shared" si="7"/>
        <v>Temperature Monitoring</v>
      </c>
      <c r="F80" s="124"/>
      <c r="G80" s="124"/>
      <c r="H80" s="124"/>
      <c r="I80" s="124">
        <f t="shared" si="8"/>
        <v>0</v>
      </c>
      <c r="J80" s="124" t="str">
        <v/>
      </c>
      <c r="K80" s="124"/>
      <c r="L80" s="124"/>
      <c r="M80" s="124"/>
      <c r="N80" s="124"/>
      <c r="O80" s="124"/>
      <c r="P80" s="124"/>
      <c r="Q80" s="124"/>
      <c r="R80" s="124"/>
      <c r="S80" s="124"/>
      <c r="T80" s="124"/>
      <c r="U80" s="124"/>
      <c r="V80" s="124"/>
      <c r="W80" s="124"/>
      <c r="X80" s="124"/>
      <c r="Y80" s="124"/>
      <c r="Z80" s="124"/>
      <c r="AA80" s="124"/>
      <c r="AB80" s="124"/>
      <c r="AC80" s="124"/>
      <c r="AD80" s="124"/>
      <c r="AE80" s="124"/>
      <c r="AF80" s="124" t="s">
        <v>663</v>
      </c>
      <c r="AG80" s="124" t="s">
        <v>672</v>
      </c>
      <c r="AH80" s="124" t="s">
        <v>737</v>
      </c>
      <c r="AI80" s="127" t="s">
        <v>236</v>
      </c>
    </row>
    <row r="81" spans="1:35" x14ac:dyDescent="0.3">
      <c r="A81" s="124" t="str">
        <f>IF(AND(AQ!$K$14="",AQ!$D$14=""),IF(DB!C80="","",DB!C80),IF(AQ!$D$14="",IF(DB!C80="","",DB!C80),IF(ISERROR(HLOOKUP(AQ!$D$14,$L$1:$AE$24,#REF!,FALSE)),"",IF(HLOOKUP(AQ!$D$14,$L$1:$AE$24,#REF!,FALSE)="","",HLOOKUP(AQ!$D$14,$L$1:$AE$24,#REF!,FALSE)))))</f>
        <v>Temperature Monitoring</v>
      </c>
      <c r="B81" s="124"/>
      <c r="C81" s="124" t="s">
        <v>118</v>
      </c>
      <c r="D81" s="124" t="str">
        <f t="shared" si="6"/>
        <v>CSE Tire Pressure Monitoring</v>
      </c>
      <c r="E81" s="124" t="str">
        <f t="shared" si="7"/>
        <v>Tire Pressure Monitoring</v>
      </c>
      <c r="F81" s="124"/>
      <c r="G81" s="124"/>
      <c r="H81" s="124"/>
      <c r="I81" s="124">
        <f t="shared" si="8"/>
        <v>0</v>
      </c>
      <c r="J81" s="124" t="str">
        <v/>
      </c>
      <c r="K81" s="124"/>
      <c r="L81" s="124"/>
      <c r="M81" s="124"/>
      <c r="N81" s="124"/>
      <c r="O81" s="124"/>
      <c r="P81" s="124"/>
      <c r="Q81" s="124"/>
      <c r="R81" s="124"/>
      <c r="S81" s="124"/>
      <c r="T81" s="124"/>
      <c r="U81" s="124"/>
      <c r="V81" s="124"/>
      <c r="W81" s="124"/>
      <c r="X81" s="124"/>
      <c r="Y81" s="124"/>
      <c r="Z81" s="124"/>
      <c r="AA81" s="124"/>
      <c r="AB81" s="124"/>
      <c r="AC81" s="124"/>
      <c r="AD81" s="124"/>
      <c r="AE81" s="124"/>
      <c r="AF81" s="124" t="s">
        <v>663</v>
      </c>
      <c r="AG81" s="124" t="s">
        <v>673</v>
      </c>
      <c r="AH81" s="124" t="s">
        <v>737</v>
      </c>
      <c r="AI81" s="127" t="s">
        <v>237</v>
      </c>
    </row>
    <row r="82" spans="1:35" x14ac:dyDescent="0.3">
      <c r="A82" s="124" t="str">
        <f>IF(AND(AQ!$K$14="",AQ!$D$14=""),IF(DB!C81="","",DB!C81),IF(AQ!$D$14="",IF(DB!C81="","",DB!C81),IF(ISERROR(HLOOKUP(AQ!$D$14,$L$1:$AE$24,#REF!,FALSE)),"",IF(HLOOKUP(AQ!$D$14,$L$1:$AE$24,#REF!,FALSE)="","",HLOOKUP(AQ!$D$14,$L$1:$AE$24,#REF!,FALSE)))))</f>
        <v>Tire Pressure Monitoring</v>
      </c>
      <c r="B82" s="124"/>
      <c r="C82" s="124" t="s">
        <v>600</v>
      </c>
      <c r="D82" s="124" t="str">
        <f t="shared" si="6"/>
        <v>CSE Traffic Sensor</v>
      </c>
      <c r="E82" s="124" t="str">
        <f t="shared" si="7"/>
        <v>Traffic Sensor</v>
      </c>
      <c r="F82" s="124"/>
      <c r="G82" s="124"/>
      <c r="H82" s="124"/>
      <c r="I82" s="124">
        <f t="shared" si="8"/>
        <v>0</v>
      </c>
      <c r="J82" s="124" t="str" cm="1">
        <f t="array" ref="J82:J101">TRANSPOSE(L31:AE31)</f>
        <v/>
      </c>
      <c r="K82" s="124"/>
      <c r="L82" s="124"/>
      <c r="M82" s="124"/>
      <c r="N82" s="124"/>
      <c r="O82" s="124"/>
      <c r="P82" s="124"/>
      <c r="Q82" s="124"/>
      <c r="R82" s="124"/>
      <c r="S82" s="124"/>
      <c r="T82" s="124"/>
      <c r="U82" s="124"/>
      <c r="V82" s="124"/>
      <c r="W82" s="124"/>
      <c r="X82" s="124"/>
      <c r="Y82" s="124"/>
      <c r="Z82" s="124"/>
      <c r="AA82" s="124"/>
      <c r="AB82" s="124"/>
      <c r="AC82" s="124"/>
      <c r="AD82" s="124"/>
      <c r="AE82" s="124"/>
      <c r="AF82" s="124" t="s">
        <v>663</v>
      </c>
      <c r="AG82" s="124" t="s">
        <v>640</v>
      </c>
      <c r="AH82" s="124" t="s">
        <v>737</v>
      </c>
      <c r="AI82" s="127" t="s">
        <v>238</v>
      </c>
    </row>
    <row r="83" spans="1:35" x14ac:dyDescent="0.3">
      <c r="A83" s="124" t="str">
        <f>IF(AND(AQ!$K$14="",AQ!$D$14=""),IF(DB!C82="","",DB!C82),IF(AQ!$D$14="",IF(DB!C82="","",DB!C82),IF(ISERROR(HLOOKUP(AQ!$D$14,$L$1:$AE$24,#REF!,FALSE)),"",IF(HLOOKUP(AQ!$D$14,$L$1:$AE$24,#REF!,FALSE)="","",HLOOKUP(AQ!$D$14,$L$1:$AE$24,#REF!,FALSE)))))</f>
        <v>Traffic Sensor</v>
      </c>
      <c r="B83" s="124"/>
      <c r="C83" s="124" t="s">
        <v>122</v>
      </c>
      <c r="D83" s="124" t="str">
        <f t="shared" si="6"/>
        <v>CSE Underground Mining Machinery</v>
      </c>
      <c r="E83" s="124" t="str">
        <f t="shared" si="7"/>
        <v>Underground Mining Machinery</v>
      </c>
      <c r="F83" s="124"/>
      <c r="G83" s="124"/>
      <c r="H83" s="124"/>
      <c r="I83" s="124">
        <f t="shared" si="8"/>
        <v>0</v>
      </c>
      <c r="J83" s="124" t="str">
        <v/>
      </c>
      <c r="K83" s="124"/>
      <c r="L83" s="124"/>
      <c r="M83" s="124"/>
      <c r="N83" s="124"/>
      <c r="O83" s="124"/>
      <c r="P83" s="124"/>
      <c r="Q83" s="124"/>
      <c r="R83" s="124"/>
      <c r="S83" s="124"/>
      <c r="T83" s="124"/>
      <c r="U83" s="124"/>
      <c r="V83" s="124"/>
      <c r="W83" s="124"/>
      <c r="X83" s="124"/>
      <c r="Y83" s="124"/>
      <c r="Z83" s="124"/>
      <c r="AA83" s="124"/>
      <c r="AB83" s="124"/>
      <c r="AC83" s="124"/>
      <c r="AD83" s="124"/>
      <c r="AE83" s="124"/>
      <c r="AF83" s="124" t="s">
        <v>663</v>
      </c>
      <c r="AG83" s="124" t="s">
        <v>657</v>
      </c>
      <c r="AH83" s="124" t="s">
        <v>737</v>
      </c>
      <c r="AI83" s="127" t="s">
        <v>239</v>
      </c>
    </row>
    <row r="84" spans="1:35" x14ac:dyDescent="0.3">
      <c r="A84" s="124" t="str">
        <f>IF(AND(AQ!$K$14="",AQ!$D$14=""),IF(DB!C83="","",DB!C83),IF(AQ!$D$14="",IF(DB!C83="","",DB!C83),IF(ISERROR(HLOOKUP(AQ!$D$14,$L$1:$AE$24,#REF!,FALSE)),"",IF(HLOOKUP(AQ!$D$14,$L$1:$AE$24,#REF!,FALSE)="","",HLOOKUP(AQ!$D$14,$L$1:$AE$24,#REF!,FALSE)))))</f>
        <v>Underground Mining Machinery</v>
      </c>
      <c r="B84" s="124"/>
      <c r="C84" s="124" t="s">
        <v>594</v>
      </c>
      <c r="D84" s="124" t="str">
        <f t="shared" si="6"/>
        <v>CSE Unmanned Aircraft Systems/Vehicle</v>
      </c>
      <c r="E84" s="124" t="str">
        <f t="shared" si="7"/>
        <v>Unmanned Aircraft Systems/Vehicle</v>
      </c>
      <c r="F84" s="124"/>
      <c r="G84" s="124"/>
      <c r="H84" s="124"/>
      <c r="I84" s="124">
        <f t="shared" si="8"/>
        <v>0</v>
      </c>
      <c r="J84" s="124" t="str">
        <v/>
      </c>
      <c r="K84" s="124"/>
      <c r="L84" s="124"/>
      <c r="M84" s="124"/>
      <c r="N84" s="124"/>
      <c r="O84" s="124"/>
      <c r="P84" s="124"/>
      <c r="Q84" s="124"/>
      <c r="R84" s="124"/>
      <c r="S84" s="124"/>
      <c r="T84" s="124"/>
      <c r="U84" s="124"/>
      <c r="V84" s="124"/>
      <c r="W84" s="124"/>
      <c r="X84" s="124"/>
      <c r="Y84" s="124"/>
      <c r="Z84" s="124"/>
      <c r="AA84" s="124"/>
      <c r="AB84" s="124"/>
      <c r="AC84" s="124"/>
      <c r="AD84" s="124"/>
      <c r="AE84" s="124"/>
      <c r="AF84" s="124" t="s">
        <v>674</v>
      </c>
      <c r="AG84" s="124" t="s">
        <v>660</v>
      </c>
      <c r="AH84" s="124" t="s">
        <v>675</v>
      </c>
      <c r="AI84" s="127" t="s">
        <v>240</v>
      </c>
    </row>
    <row r="85" spans="1:35" x14ac:dyDescent="0.3">
      <c r="A85" s="124" t="str">
        <f>IF(AND(AQ!$K$14="",AQ!$D$14=""),IF(DB!C84="","",DB!C84),IF(AQ!$D$14="",IF(DB!C84="","",DB!C84),IF(ISERROR(HLOOKUP(AQ!$D$14,$L$1:$AE$24,#REF!,FALSE)),"",IF(HLOOKUP(AQ!$D$14,$L$1:$AE$24,#REF!,FALSE)="","",HLOOKUP(AQ!$D$14,$L$1:$AE$24,#REF!,FALSE)))))</f>
        <v>Unmanned Aircraft Systems/Vehicle</v>
      </c>
      <c r="B85" s="124"/>
      <c r="C85" s="124" t="s">
        <v>610</v>
      </c>
      <c r="D85" s="124" t="str">
        <f t="shared" si="6"/>
        <v>CSE Waste Sensor</v>
      </c>
      <c r="E85" s="124" t="str">
        <f t="shared" si="7"/>
        <v>Waste Sensor</v>
      </c>
      <c r="F85" s="124"/>
      <c r="G85" s="124"/>
      <c r="H85" s="124"/>
      <c r="I85" s="124">
        <f t="shared" si="8"/>
        <v>0</v>
      </c>
      <c r="J85" s="124" t="str">
        <v/>
      </c>
      <c r="K85" s="124"/>
      <c r="L85" s="124"/>
      <c r="M85" s="124"/>
      <c r="N85" s="124"/>
      <c r="O85" s="124"/>
      <c r="P85" s="124"/>
      <c r="Q85" s="124"/>
      <c r="R85" s="124"/>
      <c r="S85" s="124"/>
      <c r="T85" s="124"/>
      <c r="U85" s="124"/>
      <c r="V85" s="124"/>
      <c r="W85" s="124"/>
      <c r="X85" s="124"/>
      <c r="Y85" s="124"/>
      <c r="Z85" s="124"/>
      <c r="AA85" s="124"/>
      <c r="AB85" s="124"/>
      <c r="AC85" s="124"/>
      <c r="AD85" s="124"/>
      <c r="AE85" s="124"/>
      <c r="AF85" s="124" t="s">
        <v>676</v>
      </c>
      <c r="AG85" s="124" t="s">
        <v>642</v>
      </c>
      <c r="AH85" s="124" t="s">
        <v>738</v>
      </c>
      <c r="AI85" s="127" t="s">
        <v>241</v>
      </c>
    </row>
    <row r="86" spans="1:35" x14ac:dyDescent="0.3">
      <c r="A86" s="124" t="str">
        <f>IF(AND(AQ!$K$14="",AQ!$D$14=""),IF(DB!C85="","",DB!C85),IF(AQ!$D$14="",IF(DB!C85="","",DB!C85),IF(ISERROR(HLOOKUP(AQ!$D$14,$L$1:$AE$24,#REF!,FALSE)),"",IF(HLOOKUP(AQ!$D$14,$L$1:$AE$24,#REF!,FALSE)="","",HLOOKUP(AQ!$D$14,$L$1:$AE$24,#REF!,FALSE)))))</f>
        <v>Waste Sensor</v>
      </c>
      <c r="B86" s="124"/>
      <c r="C86" s="124" t="s">
        <v>149</v>
      </c>
      <c r="D86" s="124" t="str">
        <f t="shared" si="6"/>
        <v>CSE Water Meters</v>
      </c>
      <c r="E86" s="124" t="str">
        <f t="shared" si="7"/>
        <v>Water Meters</v>
      </c>
      <c r="F86" s="124"/>
      <c r="G86" s="124"/>
      <c r="H86" s="124"/>
      <c r="I86" s="124">
        <f t="shared" si="8"/>
        <v>0</v>
      </c>
      <c r="J86" s="124" t="str">
        <v/>
      </c>
      <c r="K86" s="124"/>
      <c r="L86" s="124"/>
      <c r="M86" s="124"/>
      <c r="N86" s="124"/>
      <c r="O86" s="124"/>
      <c r="P86" s="124"/>
      <c r="Q86" s="124"/>
      <c r="R86" s="124"/>
      <c r="S86" s="124"/>
      <c r="T86" s="124"/>
      <c r="U86" s="124"/>
      <c r="V86" s="124"/>
      <c r="W86" s="124"/>
      <c r="X86" s="124"/>
      <c r="Y86" s="124"/>
      <c r="Z86" s="124"/>
      <c r="AA86" s="124"/>
      <c r="AB86" s="124"/>
      <c r="AC86" s="124"/>
      <c r="AD86" s="124"/>
      <c r="AE86" s="124"/>
      <c r="AF86" s="124" t="s">
        <v>676</v>
      </c>
      <c r="AG86" s="124" t="s">
        <v>677</v>
      </c>
      <c r="AH86" s="124" t="s">
        <v>738</v>
      </c>
      <c r="AI86" s="127" t="s">
        <v>242</v>
      </c>
    </row>
    <row r="87" spans="1:35" x14ac:dyDescent="0.3">
      <c r="A87" s="124" t="str">
        <f>IF(AND(AQ!$K$14="",AQ!$D$14=""),IF(DB!C86="","",DB!C86),IF(AQ!$D$14="",IF(DB!C86="","",DB!C86),IF(ISERROR(HLOOKUP(AQ!$D$14,$L$1:$AE$24,#REF!,FALSE)),"",IF(HLOOKUP(AQ!$D$14,$L$1:$AE$24,#REF!,FALSE)="","",HLOOKUP(AQ!$D$14,$L$1:$AE$24,#REF!,FALSE)))))</f>
        <v>Water Meters</v>
      </c>
      <c r="B87" s="124"/>
      <c r="C87" s="124" t="s">
        <v>606</v>
      </c>
      <c r="D87" s="124" t="str">
        <f t="shared" si="6"/>
        <v>CSE Water Monitoring</v>
      </c>
      <c r="E87" s="124" t="str">
        <f t="shared" si="7"/>
        <v>Water Monitoring</v>
      </c>
      <c r="F87" s="124"/>
      <c r="G87" s="124"/>
      <c r="H87" s="124"/>
      <c r="I87" s="124">
        <f t="shared" si="8"/>
        <v>0</v>
      </c>
      <c r="J87" s="124" t="str">
        <v/>
      </c>
      <c r="K87" s="124"/>
      <c r="L87" s="124"/>
      <c r="M87" s="124"/>
      <c r="N87" s="124"/>
      <c r="O87" s="124"/>
      <c r="P87" s="124"/>
      <c r="Q87" s="124"/>
      <c r="R87" s="124"/>
      <c r="S87" s="124"/>
      <c r="T87" s="124"/>
      <c r="U87" s="124"/>
      <c r="V87" s="124"/>
      <c r="W87" s="124"/>
      <c r="X87" s="124"/>
      <c r="Y87" s="124"/>
      <c r="Z87" s="124"/>
      <c r="AA87" s="124"/>
      <c r="AB87" s="124"/>
      <c r="AC87" s="124"/>
      <c r="AD87" s="124"/>
      <c r="AE87" s="124"/>
      <c r="AF87" s="124" t="s">
        <v>676</v>
      </c>
      <c r="AG87" s="124" t="s">
        <v>614</v>
      </c>
      <c r="AH87" s="124" t="s">
        <v>738</v>
      </c>
      <c r="AI87" s="127" t="s">
        <v>243</v>
      </c>
    </row>
    <row r="88" spans="1:35" x14ac:dyDescent="0.3">
      <c r="A88" s="124" t="str">
        <f>IF(AND(AQ!$K$14="",AQ!$D$14=""),IF(DB!C87="","",DB!C87),IF(AQ!$D$14="",IF(DB!C87="","",DB!C87),IF(ISERROR(HLOOKUP(AQ!$D$14,$L$1:$AE$24,#REF!,FALSE)),"",IF(HLOOKUP(AQ!$D$14,$L$1:$AE$24,#REF!,FALSE)="","",HLOOKUP(AQ!$D$14,$L$1:$AE$24,#REF!,FALSE)))))</f>
        <v>Water Monitoring</v>
      </c>
      <c r="B88" s="124"/>
      <c r="C88" s="124" t="s">
        <v>147</v>
      </c>
      <c r="D88" s="124" t="str">
        <f t="shared" si="6"/>
        <v>CSE Well Completion Tool</v>
      </c>
      <c r="E88" s="124" t="str">
        <f t="shared" si="7"/>
        <v>Well Completion Tool</v>
      </c>
      <c r="F88" s="124"/>
      <c r="G88" s="124"/>
      <c r="H88" s="124"/>
      <c r="I88" s="124">
        <f t="shared" si="8"/>
        <v>0</v>
      </c>
      <c r="J88" s="124" t="str">
        <v/>
      </c>
      <c r="K88" s="124"/>
      <c r="L88" s="124"/>
      <c r="M88" s="124"/>
      <c r="N88" s="124"/>
      <c r="O88" s="124"/>
      <c r="P88" s="124"/>
      <c r="Q88" s="124"/>
      <c r="R88" s="124"/>
      <c r="S88" s="124"/>
      <c r="T88" s="124"/>
      <c r="U88" s="124"/>
      <c r="V88" s="124"/>
      <c r="W88" s="124"/>
      <c r="X88" s="124"/>
      <c r="Y88" s="124"/>
      <c r="Z88" s="124"/>
      <c r="AA88" s="124"/>
      <c r="AB88" s="124"/>
      <c r="AC88" s="124"/>
      <c r="AD88" s="124"/>
      <c r="AE88" s="124"/>
      <c r="AF88" s="124" t="s">
        <v>676</v>
      </c>
      <c r="AG88" s="124" t="s">
        <v>644</v>
      </c>
      <c r="AH88" s="124" t="s">
        <v>738</v>
      </c>
      <c r="AI88" s="127" t="s">
        <v>244</v>
      </c>
    </row>
    <row r="89" spans="1:35" x14ac:dyDescent="0.3">
      <c r="A89" s="124" t="str">
        <f>IF(AND(AQ!$K$14="",AQ!$D$14=""),IF(DB!C88="","",DB!C88),IF(AQ!$D$14="",IF(DB!C88="","",DB!C88),IF(ISERROR(HLOOKUP(AQ!$D$14,$L$1:$AE$24,#REF!,FALSE)),"",IF(HLOOKUP(AQ!$D$14,$L$1:$AE$24,#REF!,FALSE)="","",HLOOKUP(AQ!$D$14,$L$1:$AE$24,#REF!,FALSE)))))</f>
        <v>Well Completion Tool</v>
      </c>
      <c r="B89" s="124"/>
      <c r="C89" s="124" t="s">
        <v>609</v>
      </c>
      <c r="D89" s="124" t="str">
        <f t="shared" si="6"/>
        <v>CSE Wind Monitoring</v>
      </c>
      <c r="E89" s="124" t="str">
        <f t="shared" si="7"/>
        <v>Wind Monitoring</v>
      </c>
      <c r="F89" s="124"/>
      <c r="G89" s="124"/>
      <c r="H89" s="124"/>
      <c r="I89" s="124">
        <f t="shared" si="8"/>
        <v>0</v>
      </c>
      <c r="J89" s="124" t="str">
        <v/>
      </c>
      <c r="K89" s="124"/>
      <c r="L89" s="124"/>
      <c r="M89" s="124"/>
      <c r="N89" s="124"/>
      <c r="O89" s="124"/>
      <c r="P89" s="124"/>
      <c r="Q89" s="124"/>
      <c r="R89" s="124"/>
      <c r="S89" s="124"/>
      <c r="T89" s="124"/>
      <c r="U89" s="124"/>
      <c r="V89" s="124"/>
      <c r="W89" s="124"/>
      <c r="X89" s="124"/>
      <c r="Y89" s="124"/>
      <c r="Z89" s="124"/>
      <c r="AA89" s="124"/>
      <c r="AB89" s="124"/>
      <c r="AC89" s="124"/>
      <c r="AD89" s="124"/>
      <c r="AE89" s="124"/>
      <c r="AF89" s="124" t="s">
        <v>676</v>
      </c>
      <c r="AG89" s="124" t="s">
        <v>647</v>
      </c>
      <c r="AH89" s="124" t="s">
        <v>738</v>
      </c>
      <c r="AI89" s="127" t="s">
        <v>245</v>
      </c>
    </row>
    <row r="90" spans="1:35" x14ac:dyDescent="0.3">
      <c r="A90" s="124" t="str">
        <f>IF(AND(AQ!$K$14="",AQ!$D$14=""),IF(DB!C89="","",DB!C89),IF(AQ!$D$14="",IF(DB!C89="","",DB!C89),IF(ISERROR(HLOOKUP(AQ!$D$14,$L$1:$AE$24,#REF!,FALSE)),"",IF(HLOOKUP(AQ!$D$14,$L$1:$AE$24,#REF!,FALSE)="","",HLOOKUP(AQ!$D$14,$L$1:$AE$24,#REF!,FALSE)))))</f>
        <v>Wind Monitoring</v>
      </c>
      <c r="B90" s="124"/>
      <c r="C90" s="124" t="s">
        <v>143</v>
      </c>
      <c r="D90" s="124" t="str">
        <f t="shared" si="6"/>
        <v>CSE Wheelchairs</v>
      </c>
      <c r="E90" s="124" t="str">
        <f t="shared" si="7"/>
        <v>Wheelchairs</v>
      </c>
      <c r="F90" s="124"/>
      <c r="G90" s="124"/>
      <c r="H90" s="124"/>
      <c r="I90" s="124">
        <f t="shared" si="8"/>
        <v>0</v>
      </c>
      <c r="J90" s="124" t="str">
        <v/>
      </c>
      <c r="K90" s="124"/>
      <c r="L90" s="124"/>
      <c r="M90" s="124"/>
      <c r="N90" s="124"/>
      <c r="O90" s="124"/>
      <c r="P90" s="124"/>
      <c r="Q90" s="124"/>
      <c r="R90" s="124"/>
      <c r="S90" s="124"/>
      <c r="T90" s="124"/>
      <c r="U90" s="124"/>
      <c r="V90" s="124"/>
      <c r="W90" s="124"/>
      <c r="X90" s="124"/>
      <c r="Y90" s="124"/>
      <c r="Z90" s="124"/>
      <c r="AA90" s="124"/>
      <c r="AB90" s="124"/>
      <c r="AC90" s="124"/>
      <c r="AD90" s="124"/>
      <c r="AE90" s="124"/>
      <c r="AF90" s="124" t="s">
        <v>676</v>
      </c>
      <c r="AG90" s="124" t="s">
        <v>648</v>
      </c>
      <c r="AH90" s="124" t="s">
        <v>738</v>
      </c>
      <c r="AI90" s="127" t="s">
        <v>246</v>
      </c>
    </row>
    <row r="91" spans="1:35" x14ac:dyDescent="0.3">
      <c r="A91" s="124" t="str">
        <f>IF(AND(AQ!$K$14="",AQ!$D$14=""),IF(DB!C90="","",DB!C90),IF(AQ!$D$14="",IF(DB!C90="","",DB!C90),IF(ISERROR(HLOOKUP(AQ!$D$14,$L$1:$AE$24,#REF!,FALSE)),"",IF(HLOOKUP(AQ!$D$14,$L$1:$AE$24,#REF!,FALSE)="","",HLOOKUP(AQ!$D$14,$L$1:$AE$24,#REF!,FALSE)))))</f>
        <v>Wheelchairs</v>
      </c>
      <c r="B91" s="124"/>
      <c r="C91" s="124" t="s">
        <v>133</v>
      </c>
      <c r="D91" s="124" t="str">
        <f t="shared" si="6"/>
        <v>CSE Woodfire Monitoring</v>
      </c>
      <c r="E91" s="124" t="str">
        <f>C91</f>
        <v>Woodfire Monitoring</v>
      </c>
      <c r="F91" s="124"/>
      <c r="G91" s="124"/>
      <c r="H91" s="124"/>
      <c r="I91" s="124">
        <f t="shared" si="8"/>
        <v>0</v>
      </c>
      <c r="J91" s="124" t="str">
        <v/>
      </c>
      <c r="K91" s="124"/>
      <c r="L91" s="124"/>
      <c r="M91" s="124"/>
      <c r="N91" s="124"/>
      <c r="O91" s="124"/>
      <c r="P91" s="124"/>
      <c r="Q91" s="124"/>
      <c r="R91" s="124"/>
      <c r="S91" s="124"/>
      <c r="T91" s="124"/>
      <c r="U91" s="124"/>
      <c r="V91" s="124"/>
      <c r="W91" s="124"/>
      <c r="X91" s="124"/>
      <c r="Y91" s="124"/>
      <c r="Z91" s="124"/>
      <c r="AA91" s="124"/>
      <c r="AB91" s="124"/>
      <c r="AC91" s="124"/>
      <c r="AD91" s="124"/>
      <c r="AE91" s="124"/>
      <c r="AF91" s="124" t="s">
        <v>676</v>
      </c>
      <c r="AG91" s="124" t="s">
        <v>633</v>
      </c>
      <c r="AH91" s="124" t="s">
        <v>738</v>
      </c>
      <c r="AI91" s="127" t="s">
        <v>247</v>
      </c>
    </row>
    <row r="92" spans="1:35" x14ac:dyDescent="0.3">
      <c r="A92" s="124" t="str">
        <f>IF(AND(AQ!$K$14="",AQ!$D$14=""),IF(DB!C91="","",DB!C91),IF(AQ!$D$14="",IF(DB!C91="","",DB!C91),IF(ISERROR(HLOOKUP(AQ!$D$14,$L$1:$AE$24,#REF!,FALSE)),"",IF(HLOOKUP(AQ!$D$14,$L$1:$AE$24,#REF!,FALSE)="","",HLOOKUP(AQ!$D$14,$L$1:$AE$24,#REF!,FALSE)))))</f>
        <v>Woodfire Monitoring</v>
      </c>
      <c r="B92" s="124"/>
      <c r="C92" s="124"/>
      <c r="D92" s="124"/>
      <c r="E92" s="124"/>
      <c r="F92" s="124"/>
      <c r="G92" s="124"/>
      <c r="H92" s="124"/>
      <c r="I92" s="124">
        <f t="shared" si="8"/>
        <v>0</v>
      </c>
      <c r="J92" s="124" t="str">
        <v/>
      </c>
      <c r="K92" s="124"/>
      <c r="L92" s="124"/>
      <c r="M92" s="124"/>
      <c r="N92" s="124"/>
      <c r="O92" s="124"/>
      <c r="P92" s="124"/>
      <c r="Q92" s="124"/>
      <c r="R92" s="124"/>
      <c r="S92" s="124"/>
      <c r="T92" s="124"/>
      <c r="U92" s="124"/>
      <c r="V92" s="124"/>
      <c r="W92" s="124"/>
      <c r="X92" s="124"/>
      <c r="Y92" s="124"/>
      <c r="Z92" s="124"/>
      <c r="AA92" s="124"/>
      <c r="AB92" s="124"/>
      <c r="AC92" s="124"/>
      <c r="AD92" s="124"/>
      <c r="AE92" s="124"/>
      <c r="AF92" s="124" t="s">
        <v>676</v>
      </c>
      <c r="AG92" s="124" t="s">
        <v>650</v>
      </c>
      <c r="AH92" s="124" t="s">
        <v>738</v>
      </c>
      <c r="AI92" s="127" t="s">
        <v>248</v>
      </c>
    </row>
    <row r="93" spans="1:35" x14ac:dyDescent="0.3">
      <c r="A93" s="124"/>
      <c r="B93" s="124"/>
      <c r="C93" s="124"/>
      <c r="D93" s="124"/>
      <c r="E93" s="124"/>
      <c r="F93" s="124"/>
      <c r="G93" s="124"/>
      <c r="H93" s="124"/>
      <c r="I93" s="124">
        <f t="shared" si="8"/>
        <v>0</v>
      </c>
      <c r="J93" s="124" t="str">
        <v/>
      </c>
      <c r="K93" s="124"/>
      <c r="L93" s="124"/>
      <c r="M93" s="124"/>
      <c r="N93" s="124"/>
      <c r="O93" s="124"/>
      <c r="P93" s="124"/>
      <c r="Q93" s="124"/>
      <c r="R93" s="124"/>
      <c r="S93" s="124"/>
      <c r="T93" s="124"/>
      <c r="U93" s="124"/>
      <c r="V93" s="124"/>
      <c r="W93" s="124"/>
      <c r="X93" s="124"/>
      <c r="Y93" s="124"/>
      <c r="Z93" s="124"/>
      <c r="AA93" s="124"/>
      <c r="AB93" s="124"/>
      <c r="AC93" s="124"/>
      <c r="AD93" s="124"/>
      <c r="AE93" s="124"/>
      <c r="AF93" s="124" t="s">
        <v>676</v>
      </c>
      <c r="AG93" s="124" t="s">
        <v>616</v>
      </c>
      <c r="AH93" s="124" t="s">
        <v>738</v>
      </c>
      <c r="AI93" s="127" t="s">
        <v>249</v>
      </c>
    </row>
    <row r="94" spans="1:35" x14ac:dyDescent="0.3">
      <c r="A94" s="124"/>
      <c r="B94" s="124"/>
      <c r="C94" s="124"/>
      <c r="D94" s="124"/>
      <c r="E94" s="124"/>
      <c r="F94" s="124"/>
      <c r="G94" s="124"/>
      <c r="H94" s="124"/>
      <c r="I94" s="124">
        <f t="shared" si="8"/>
        <v>0</v>
      </c>
      <c r="J94" s="124" t="str">
        <v/>
      </c>
      <c r="K94" s="124"/>
      <c r="L94" s="124"/>
      <c r="M94" s="124"/>
      <c r="N94" s="124"/>
      <c r="O94" s="124"/>
      <c r="P94" s="124"/>
      <c r="Q94" s="124"/>
      <c r="R94" s="124"/>
      <c r="S94" s="124"/>
      <c r="T94" s="124"/>
      <c r="U94" s="124"/>
      <c r="V94" s="124"/>
      <c r="W94" s="124"/>
      <c r="X94" s="124"/>
      <c r="Y94" s="124"/>
      <c r="Z94" s="124"/>
      <c r="AA94" s="124"/>
      <c r="AB94" s="124"/>
      <c r="AC94" s="124"/>
      <c r="AD94" s="124"/>
      <c r="AE94" s="124"/>
      <c r="AF94" s="124" t="s">
        <v>676</v>
      </c>
      <c r="AG94" s="124" t="s">
        <v>678</v>
      </c>
      <c r="AH94" s="124" t="s">
        <v>738</v>
      </c>
      <c r="AI94" s="127" t="s">
        <v>250</v>
      </c>
    </row>
    <row r="95" spans="1:35" x14ac:dyDescent="0.3">
      <c r="A95" s="124"/>
      <c r="B95" s="124"/>
      <c r="C95" s="124"/>
      <c r="D95" s="124"/>
      <c r="E95" s="124"/>
      <c r="F95" s="124"/>
      <c r="G95" s="124"/>
      <c r="H95" s="124"/>
      <c r="I95" s="124">
        <f t="shared" si="8"/>
        <v>0</v>
      </c>
      <c r="J95" s="124" t="str">
        <v/>
      </c>
      <c r="K95" s="124"/>
      <c r="L95" s="124"/>
      <c r="M95" s="124"/>
      <c r="N95" s="124"/>
      <c r="O95" s="124"/>
      <c r="P95" s="124"/>
      <c r="Q95" s="124"/>
      <c r="R95" s="124"/>
      <c r="S95" s="124"/>
      <c r="T95" s="124"/>
      <c r="U95" s="124"/>
      <c r="V95" s="124"/>
      <c r="W95" s="124"/>
      <c r="X95" s="124"/>
      <c r="Y95" s="124"/>
      <c r="Z95" s="124"/>
      <c r="AA95" s="124"/>
      <c r="AB95" s="124"/>
      <c r="AC95" s="124"/>
      <c r="AD95" s="124"/>
      <c r="AE95" s="124"/>
      <c r="AF95" s="124" t="s">
        <v>676</v>
      </c>
      <c r="AG95" s="124" t="s">
        <v>619</v>
      </c>
      <c r="AH95" s="124" t="s">
        <v>738</v>
      </c>
      <c r="AI95" s="127" t="s">
        <v>251</v>
      </c>
    </row>
    <row r="96" spans="1:35" x14ac:dyDescent="0.3">
      <c r="A96" s="124"/>
      <c r="B96" s="124"/>
      <c r="C96" s="124"/>
      <c r="D96" s="124"/>
      <c r="E96" s="124"/>
      <c r="F96" s="124"/>
      <c r="G96" s="124"/>
      <c r="H96" s="124"/>
      <c r="I96" s="124">
        <f t="shared" si="8"/>
        <v>0</v>
      </c>
      <c r="J96" s="124" t="str">
        <v/>
      </c>
      <c r="K96" s="124"/>
      <c r="L96" s="124"/>
      <c r="M96" s="124"/>
      <c r="N96" s="124"/>
      <c r="O96" s="124"/>
      <c r="P96" s="124"/>
      <c r="Q96" s="124"/>
      <c r="R96" s="124"/>
      <c r="S96" s="124"/>
      <c r="T96" s="124"/>
      <c r="U96" s="124"/>
      <c r="V96" s="124"/>
      <c r="W96" s="124"/>
      <c r="X96" s="124"/>
      <c r="Y96" s="124"/>
      <c r="Z96" s="124"/>
      <c r="AA96" s="124"/>
      <c r="AB96" s="124"/>
      <c r="AC96" s="124"/>
      <c r="AD96" s="124"/>
      <c r="AE96" s="124"/>
      <c r="AF96" s="124" t="s">
        <v>676</v>
      </c>
      <c r="AG96" s="124" t="s">
        <v>679</v>
      </c>
      <c r="AH96" s="124" t="s">
        <v>738</v>
      </c>
      <c r="AI96" s="127" t="s">
        <v>252</v>
      </c>
    </row>
    <row r="97" spans="1:35" x14ac:dyDescent="0.3">
      <c r="A97" s="124"/>
      <c r="B97" s="124"/>
      <c r="C97" s="124"/>
      <c r="D97" s="124"/>
      <c r="E97" s="124"/>
      <c r="F97" s="124"/>
      <c r="G97" s="124"/>
      <c r="H97" s="124"/>
      <c r="I97" s="124">
        <f t="shared" si="8"/>
        <v>0</v>
      </c>
      <c r="J97" s="124" t="str">
        <v/>
      </c>
      <c r="K97" s="124"/>
      <c r="L97" s="124"/>
      <c r="M97" s="124"/>
      <c r="N97" s="124"/>
      <c r="O97" s="124"/>
      <c r="P97" s="124"/>
      <c r="Q97" s="124"/>
      <c r="R97" s="124"/>
      <c r="S97" s="124"/>
      <c r="T97" s="124"/>
      <c r="U97" s="124"/>
      <c r="V97" s="124"/>
      <c r="W97" s="124"/>
      <c r="X97" s="124"/>
      <c r="Y97" s="124"/>
      <c r="Z97" s="124"/>
      <c r="AA97" s="124"/>
      <c r="AB97" s="124"/>
      <c r="AC97" s="124"/>
      <c r="AD97" s="124"/>
      <c r="AE97" s="124"/>
      <c r="AF97" s="124" t="s">
        <v>676</v>
      </c>
      <c r="AG97" s="124" t="s">
        <v>672</v>
      </c>
      <c r="AH97" s="124" t="s">
        <v>738</v>
      </c>
      <c r="AI97" s="127" t="s">
        <v>253</v>
      </c>
    </row>
    <row r="98" spans="1:35" x14ac:dyDescent="0.3">
      <c r="A98" s="124"/>
      <c r="B98" s="124"/>
      <c r="C98" s="124"/>
      <c r="D98" s="124"/>
      <c r="E98" s="124"/>
      <c r="F98" s="124"/>
      <c r="G98" s="124"/>
      <c r="H98" s="124"/>
      <c r="I98" s="124">
        <f t="shared" si="8"/>
        <v>0</v>
      </c>
      <c r="J98" s="124" t="str">
        <v/>
      </c>
      <c r="K98" s="124"/>
      <c r="L98" s="124"/>
      <c r="M98" s="124"/>
      <c r="N98" s="124"/>
      <c r="O98" s="124"/>
      <c r="P98" s="124"/>
      <c r="Q98" s="124"/>
      <c r="R98" s="124"/>
      <c r="S98" s="124"/>
      <c r="T98" s="124"/>
      <c r="U98" s="124"/>
      <c r="V98" s="124"/>
      <c r="W98" s="124"/>
      <c r="X98" s="124"/>
      <c r="Y98" s="124"/>
      <c r="Z98" s="124"/>
      <c r="AA98" s="124"/>
      <c r="AB98" s="124"/>
      <c r="AC98" s="124"/>
      <c r="AD98" s="124"/>
      <c r="AE98" s="124"/>
      <c r="AF98" s="124" t="s">
        <v>676</v>
      </c>
      <c r="AG98" s="124" t="s">
        <v>622</v>
      </c>
      <c r="AH98" s="124" t="s">
        <v>738</v>
      </c>
      <c r="AI98" s="127" t="s">
        <v>254</v>
      </c>
    </row>
    <row r="99" spans="1:35" x14ac:dyDescent="0.3">
      <c r="A99" s="124"/>
      <c r="B99" s="124"/>
      <c r="C99" s="124"/>
      <c r="D99" s="124"/>
      <c r="E99" s="124"/>
      <c r="F99" s="124"/>
      <c r="G99" s="124"/>
      <c r="H99" s="124"/>
      <c r="I99" s="124">
        <f t="shared" si="8"/>
        <v>0</v>
      </c>
      <c r="J99" s="124" t="str">
        <v/>
      </c>
      <c r="K99" s="124"/>
      <c r="L99" s="124"/>
      <c r="M99" s="124"/>
      <c r="N99" s="124"/>
      <c r="O99" s="124"/>
      <c r="P99" s="124"/>
      <c r="Q99" s="124"/>
      <c r="R99" s="124"/>
      <c r="S99" s="124"/>
      <c r="T99" s="124"/>
      <c r="U99" s="124"/>
      <c r="V99" s="124"/>
      <c r="W99" s="124"/>
      <c r="X99" s="124"/>
      <c r="Y99" s="124"/>
      <c r="Z99" s="124"/>
      <c r="AA99" s="124"/>
      <c r="AB99" s="124"/>
      <c r="AC99" s="124"/>
      <c r="AD99" s="124"/>
      <c r="AE99" s="124"/>
      <c r="AF99" s="124" t="s">
        <v>676</v>
      </c>
      <c r="AG99" s="124" t="s">
        <v>624</v>
      </c>
      <c r="AH99" s="124" t="s">
        <v>738</v>
      </c>
      <c r="AI99" s="127" t="s">
        <v>255</v>
      </c>
    </row>
    <row r="100" spans="1:35" x14ac:dyDescent="0.3">
      <c r="A100" s="124"/>
      <c r="B100" s="124"/>
      <c r="C100" s="124"/>
      <c r="D100" s="124"/>
      <c r="E100" s="124"/>
      <c r="F100" s="124"/>
      <c r="G100" s="124"/>
      <c r="H100" s="124"/>
      <c r="I100" s="124">
        <f t="shared" si="8"/>
        <v>0</v>
      </c>
      <c r="J100" s="124" t="str">
        <v/>
      </c>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t="s">
        <v>680</v>
      </c>
      <c r="AG100" s="124" t="s">
        <v>642</v>
      </c>
      <c r="AH100" s="124" t="s">
        <v>739</v>
      </c>
      <c r="AI100" s="127" t="s">
        <v>256</v>
      </c>
    </row>
    <row r="101" spans="1:35" x14ac:dyDescent="0.3">
      <c r="A101" s="124"/>
      <c r="B101" s="124"/>
      <c r="C101" s="124"/>
      <c r="D101" s="124"/>
      <c r="E101" s="124"/>
      <c r="F101" s="124"/>
      <c r="G101" s="124"/>
      <c r="H101" s="124"/>
      <c r="I101" s="124">
        <f t="shared" si="8"/>
        <v>0</v>
      </c>
      <c r="J101" s="124" t="str">
        <v/>
      </c>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t="s">
        <v>680</v>
      </c>
      <c r="AG101" s="124" t="s">
        <v>681</v>
      </c>
      <c r="AH101" s="124" t="s">
        <v>739</v>
      </c>
      <c r="AI101" s="127" t="s">
        <v>257</v>
      </c>
    </row>
    <row r="102" spans="1:35" x14ac:dyDescent="0.3">
      <c r="A102" s="124"/>
      <c r="B102" s="124"/>
      <c r="C102" s="124"/>
      <c r="D102" s="124"/>
      <c r="E102" s="124"/>
      <c r="F102" s="124"/>
      <c r="G102" s="124"/>
      <c r="H102" s="124"/>
      <c r="I102" s="124">
        <f t="shared" si="8"/>
        <v>0</v>
      </c>
      <c r="J102" s="124" t="str" cm="1">
        <f t="array" ref="J102:J121">TRANSPOSE(L32:AE32)</f>
        <v/>
      </c>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t="s">
        <v>680</v>
      </c>
      <c r="AG102" s="124" t="s">
        <v>682</v>
      </c>
      <c r="AH102" s="124" t="s">
        <v>739</v>
      </c>
      <c r="AI102" s="127" t="s">
        <v>258</v>
      </c>
    </row>
    <row r="103" spans="1:35" x14ac:dyDescent="0.3">
      <c r="A103" s="124"/>
      <c r="B103" s="124"/>
      <c r="C103" s="124"/>
      <c r="D103" s="124"/>
      <c r="E103" s="124"/>
      <c r="F103" s="124"/>
      <c r="G103" s="124"/>
      <c r="H103" s="124"/>
      <c r="I103" s="124">
        <f t="shared" si="8"/>
        <v>0</v>
      </c>
      <c r="J103" s="124" t="str">
        <v/>
      </c>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t="s">
        <v>680</v>
      </c>
      <c r="AG103" s="124" t="s">
        <v>647</v>
      </c>
      <c r="AH103" s="124" t="s">
        <v>739</v>
      </c>
      <c r="AI103" s="127" t="s">
        <v>259</v>
      </c>
    </row>
    <row r="104" spans="1:35" x14ac:dyDescent="0.3">
      <c r="A104" s="124"/>
      <c r="B104" s="124"/>
      <c r="C104" s="124"/>
      <c r="D104" s="124"/>
      <c r="E104" s="124"/>
      <c r="F104" s="124"/>
      <c r="G104" s="124"/>
      <c r="H104" s="124"/>
      <c r="I104" s="124">
        <f t="shared" si="8"/>
        <v>0</v>
      </c>
      <c r="J104" s="124" t="str">
        <v/>
      </c>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t="s">
        <v>680</v>
      </c>
      <c r="AG104" s="124" t="s">
        <v>648</v>
      </c>
      <c r="AH104" s="124" t="s">
        <v>739</v>
      </c>
      <c r="AI104" s="127" t="s">
        <v>260</v>
      </c>
    </row>
    <row r="105" spans="1:35" x14ac:dyDescent="0.3">
      <c r="A105" s="124"/>
      <c r="B105" s="124"/>
      <c r="C105" s="124"/>
      <c r="D105" s="124"/>
      <c r="E105" s="124"/>
      <c r="F105" s="124"/>
      <c r="G105" s="124"/>
      <c r="H105" s="124"/>
      <c r="I105" s="124">
        <f t="shared" si="8"/>
        <v>0</v>
      </c>
      <c r="J105" s="124" t="str">
        <v/>
      </c>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t="s">
        <v>680</v>
      </c>
      <c r="AG105" s="124" t="s">
        <v>616</v>
      </c>
      <c r="AH105" s="124" t="s">
        <v>739</v>
      </c>
      <c r="AI105" s="127" t="s">
        <v>261</v>
      </c>
    </row>
    <row r="106" spans="1:35" x14ac:dyDescent="0.3">
      <c r="A106" s="124"/>
      <c r="B106" s="124"/>
      <c r="C106" s="124"/>
      <c r="D106" s="124"/>
      <c r="E106" s="124"/>
      <c r="F106" s="124"/>
      <c r="G106" s="124"/>
      <c r="H106" s="124"/>
      <c r="I106" s="124">
        <f t="shared" si="8"/>
        <v>0</v>
      </c>
      <c r="J106" s="124" t="str">
        <v/>
      </c>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t="s">
        <v>680</v>
      </c>
      <c r="AG106" s="124" t="s">
        <v>683</v>
      </c>
      <c r="AH106" s="124" t="s">
        <v>739</v>
      </c>
      <c r="AI106" s="127" t="s">
        <v>262</v>
      </c>
    </row>
    <row r="107" spans="1:35" x14ac:dyDescent="0.3">
      <c r="A107" s="124"/>
      <c r="B107" s="124"/>
      <c r="C107" s="124"/>
      <c r="D107" s="124"/>
      <c r="E107" s="124"/>
      <c r="F107" s="124"/>
      <c r="G107" s="124"/>
      <c r="H107" s="124"/>
      <c r="I107" s="124">
        <f t="shared" si="8"/>
        <v>0</v>
      </c>
      <c r="J107" s="124" t="str">
        <v/>
      </c>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t="s">
        <v>680</v>
      </c>
      <c r="AG107" s="124" t="s">
        <v>684</v>
      </c>
      <c r="AH107" s="124" t="s">
        <v>739</v>
      </c>
      <c r="AI107" s="127" t="s">
        <v>263</v>
      </c>
    </row>
    <row r="108" spans="1:35" x14ac:dyDescent="0.3">
      <c r="A108" s="124"/>
      <c r="B108" s="124"/>
      <c r="C108" s="124"/>
      <c r="D108" s="124"/>
      <c r="E108" s="124"/>
      <c r="F108" s="124"/>
      <c r="G108" s="124"/>
      <c r="H108" s="124"/>
      <c r="I108" s="124">
        <f t="shared" si="8"/>
        <v>0</v>
      </c>
      <c r="J108" s="124" t="str">
        <v/>
      </c>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t="s">
        <v>680</v>
      </c>
      <c r="AG108" s="124" t="s">
        <v>617</v>
      </c>
      <c r="AH108" s="124" t="s">
        <v>739</v>
      </c>
      <c r="AI108" s="127" t="s">
        <v>264</v>
      </c>
    </row>
    <row r="109" spans="1:35" x14ac:dyDescent="0.3">
      <c r="A109" s="124"/>
      <c r="B109" s="124"/>
      <c r="C109" s="124"/>
      <c r="D109" s="124"/>
      <c r="E109" s="124"/>
      <c r="F109" s="124"/>
      <c r="G109" s="124"/>
      <c r="H109" s="124"/>
      <c r="I109" s="124">
        <f t="shared" si="8"/>
        <v>0</v>
      </c>
      <c r="J109" s="124" t="str">
        <v/>
      </c>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t="s">
        <v>680</v>
      </c>
      <c r="AG109" s="124" t="s">
        <v>685</v>
      </c>
      <c r="AH109" s="124" t="s">
        <v>739</v>
      </c>
      <c r="AI109" s="127" t="s">
        <v>265</v>
      </c>
    </row>
    <row r="110" spans="1:35" x14ac:dyDescent="0.3">
      <c r="A110" s="124"/>
      <c r="B110" s="124"/>
      <c r="C110" s="124"/>
      <c r="D110" s="124"/>
      <c r="E110" s="124"/>
      <c r="F110" s="124"/>
      <c r="G110" s="124"/>
      <c r="H110" s="124"/>
      <c r="I110" s="124">
        <f t="shared" si="8"/>
        <v>0</v>
      </c>
      <c r="J110" s="124" t="str">
        <v/>
      </c>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t="s">
        <v>680</v>
      </c>
      <c r="AG110" s="124" t="s">
        <v>619</v>
      </c>
      <c r="AH110" s="124" t="s">
        <v>739</v>
      </c>
      <c r="AI110" s="127" t="s">
        <v>266</v>
      </c>
    </row>
    <row r="111" spans="1:35" x14ac:dyDescent="0.3">
      <c r="A111" s="124"/>
      <c r="B111" s="124"/>
      <c r="C111" s="124"/>
      <c r="D111" s="124"/>
      <c r="E111" s="124"/>
      <c r="F111" s="124"/>
      <c r="G111" s="124"/>
      <c r="H111" s="124"/>
      <c r="I111" s="124">
        <f t="shared" si="8"/>
        <v>0</v>
      </c>
      <c r="J111" s="124" t="str">
        <v/>
      </c>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t="s">
        <v>680</v>
      </c>
      <c r="AG111" s="124" t="s">
        <v>620</v>
      </c>
      <c r="AH111" s="124" t="s">
        <v>739</v>
      </c>
      <c r="AI111" s="127" t="s">
        <v>267</v>
      </c>
    </row>
    <row r="112" spans="1:35" x14ac:dyDescent="0.3">
      <c r="A112" s="124"/>
      <c r="B112" s="124"/>
      <c r="C112" s="124"/>
      <c r="D112" s="124"/>
      <c r="E112" s="124"/>
      <c r="F112" s="124"/>
      <c r="G112" s="124"/>
      <c r="H112" s="124"/>
      <c r="I112" s="124">
        <f t="shared" si="8"/>
        <v>0</v>
      </c>
      <c r="J112" s="124" t="str">
        <v/>
      </c>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t="s">
        <v>680</v>
      </c>
      <c r="AG112" s="124" t="s">
        <v>661</v>
      </c>
      <c r="AH112" s="124" t="s">
        <v>739</v>
      </c>
      <c r="AI112" s="127" t="s">
        <v>268</v>
      </c>
    </row>
    <row r="113" spans="1:35" x14ac:dyDescent="0.3">
      <c r="A113" s="124"/>
      <c r="B113" s="124"/>
      <c r="C113" s="124"/>
      <c r="D113" s="124"/>
      <c r="E113" s="124"/>
      <c r="F113" s="124"/>
      <c r="G113" s="124"/>
      <c r="H113" s="124"/>
      <c r="I113" s="124">
        <f t="shared" si="8"/>
        <v>0</v>
      </c>
      <c r="J113" s="124" t="str">
        <v/>
      </c>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t="s">
        <v>680</v>
      </c>
      <c r="AG113" s="124" t="s">
        <v>686</v>
      </c>
      <c r="AH113" s="124" t="s">
        <v>739</v>
      </c>
      <c r="AI113" s="127" t="s">
        <v>269</v>
      </c>
    </row>
    <row r="114" spans="1:35" x14ac:dyDescent="0.3">
      <c r="A114" s="124"/>
      <c r="B114" s="124"/>
      <c r="C114" s="124"/>
      <c r="D114" s="124"/>
      <c r="E114" s="124"/>
      <c r="F114" s="124"/>
      <c r="G114" s="124"/>
      <c r="H114" s="124"/>
      <c r="I114" s="124">
        <f t="shared" si="8"/>
        <v>0</v>
      </c>
      <c r="J114" s="124" t="str">
        <v/>
      </c>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t="s">
        <v>680</v>
      </c>
      <c r="AG114" s="124" t="s">
        <v>624</v>
      </c>
      <c r="AH114" s="124" t="s">
        <v>739</v>
      </c>
      <c r="AI114" s="127" t="s">
        <v>270</v>
      </c>
    </row>
    <row r="115" spans="1:35" x14ac:dyDescent="0.3">
      <c r="A115" s="124"/>
      <c r="B115" s="124"/>
      <c r="C115" s="124"/>
      <c r="D115" s="124"/>
      <c r="E115" s="124"/>
      <c r="F115" s="124"/>
      <c r="G115" s="124"/>
      <c r="H115" s="124"/>
      <c r="I115" s="124">
        <f t="shared" si="8"/>
        <v>0</v>
      </c>
      <c r="J115" s="124" t="str">
        <v/>
      </c>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t="s">
        <v>687</v>
      </c>
      <c r="AG115" s="124" t="s">
        <v>688</v>
      </c>
      <c r="AH115" s="124" t="s">
        <v>740</v>
      </c>
      <c r="AI115" s="127" t="s">
        <v>271</v>
      </c>
    </row>
    <row r="116" spans="1:35" x14ac:dyDescent="0.3">
      <c r="A116" s="124"/>
      <c r="B116" s="124"/>
      <c r="C116" s="124"/>
      <c r="D116" s="124"/>
      <c r="E116" s="124"/>
      <c r="F116" s="124"/>
      <c r="G116" s="124"/>
      <c r="H116" s="124"/>
      <c r="I116" s="124">
        <f t="shared" si="8"/>
        <v>0</v>
      </c>
      <c r="J116" s="124" t="str">
        <v/>
      </c>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t="s">
        <v>687</v>
      </c>
      <c r="AG116" s="124" t="s">
        <v>630</v>
      </c>
      <c r="AH116" s="124" t="s">
        <v>740</v>
      </c>
      <c r="AI116" s="127" t="s">
        <v>272</v>
      </c>
    </row>
    <row r="117" spans="1:35" x14ac:dyDescent="0.3">
      <c r="A117" s="124"/>
      <c r="B117" s="124"/>
      <c r="C117" s="124"/>
      <c r="D117" s="124"/>
      <c r="E117" s="124"/>
      <c r="F117" s="124"/>
      <c r="G117" s="124"/>
      <c r="H117" s="124"/>
      <c r="I117" s="124">
        <f t="shared" si="8"/>
        <v>0</v>
      </c>
      <c r="J117" s="124" t="str">
        <v/>
      </c>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t="s">
        <v>687</v>
      </c>
      <c r="AG117" s="124" t="s">
        <v>672</v>
      </c>
      <c r="AH117" s="124" t="s">
        <v>740</v>
      </c>
      <c r="AI117" s="127" t="s">
        <v>273</v>
      </c>
    </row>
    <row r="118" spans="1:35" x14ac:dyDescent="0.3">
      <c r="A118" s="124"/>
      <c r="B118" s="124"/>
      <c r="C118" s="124"/>
      <c r="D118" s="124"/>
      <c r="E118" s="124"/>
      <c r="F118" s="124"/>
      <c r="G118" s="124"/>
      <c r="H118" s="124"/>
      <c r="I118" s="124">
        <f t="shared" si="8"/>
        <v>0</v>
      </c>
      <c r="J118" s="124" t="str">
        <v/>
      </c>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t="s">
        <v>687</v>
      </c>
      <c r="AG118" s="124" t="s">
        <v>631</v>
      </c>
      <c r="AH118" s="124" t="s">
        <v>740</v>
      </c>
      <c r="AI118" s="127" t="s">
        <v>274</v>
      </c>
    </row>
    <row r="119" spans="1:35" x14ac:dyDescent="0.3">
      <c r="A119" s="124"/>
      <c r="B119" s="124"/>
      <c r="C119" s="124"/>
      <c r="D119" s="124"/>
      <c r="E119" s="124"/>
      <c r="F119" s="124"/>
      <c r="G119" s="124"/>
      <c r="H119" s="124"/>
      <c r="I119" s="124">
        <f t="shared" si="8"/>
        <v>0</v>
      </c>
      <c r="J119" s="124" t="str">
        <v/>
      </c>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t="s">
        <v>687</v>
      </c>
      <c r="AG119" s="124" t="s">
        <v>689</v>
      </c>
      <c r="AH119" s="124" t="s">
        <v>740</v>
      </c>
      <c r="AI119" s="127" t="s">
        <v>275</v>
      </c>
    </row>
    <row r="120" spans="1:35" x14ac:dyDescent="0.3">
      <c r="A120" s="124"/>
      <c r="B120" s="124"/>
      <c r="C120" s="124"/>
      <c r="D120" s="124"/>
      <c r="E120" s="124"/>
      <c r="F120" s="124"/>
      <c r="G120" s="124"/>
      <c r="H120" s="124"/>
      <c r="I120" s="124">
        <f t="shared" si="8"/>
        <v>0</v>
      </c>
      <c r="J120" s="124" t="str">
        <v/>
      </c>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t="s">
        <v>687</v>
      </c>
      <c r="AG120" s="124" t="s">
        <v>640</v>
      </c>
      <c r="AH120" s="124" t="s">
        <v>740</v>
      </c>
      <c r="AI120" s="127" t="s">
        <v>276</v>
      </c>
    </row>
    <row r="121" spans="1:35" x14ac:dyDescent="0.3">
      <c r="A121" s="124"/>
      <c r="B121" s="124"/>
      <c r="C121" s="124"/>
      <c r="D121" s="124"/>
      <c r="E121" s="124"/>
      <c r="F121" s="124"/>
      <c r="G121" s="124"/>
      <c r="H121" s="124"/>
      <c r="I121" s="124">
        <f t="shared" si="8"/>
        <v>0</v>
      </c>
      <c r="J121" s="124" t="str">
        <v/>
      </c>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t="s">
        <v>690</v>
      </c>
      <c r="AG121" s="124" t="s">
        <v>664</v>
      </c>
      <c r="AH121" s="124" t="s">
        <v>741</v>
      </c>
      <c r="AI121" s="127" t="s">
        <v>277</v>
      </c>
    </row>
    <row r="122" spans="1:35" x14ac:dyDescent="0.3">
      <c r="A122" s="124"/>
      <c r="B122" s="124"/>
      <c r="C122" s="124"/>
      <c r="D122" s="124"/>
      <c r="E122" s="124"/>
      <c r="F122" s="124"/>
      <c r="G122" s="124"/>
      <c r="H122" s="124"/>
      <c r="I122" s="124">
        <f t="shared" si="8"/>
        <v>0</v>
      </c>
      <c r="J122" s="124" t="str" cm="1">
        <f t="array" ref="J122:J141">TRANSPOSE(L33:AE33)</f>
        <v/>
      </c>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t="s">
        <v>690</v>
      </c>
      <c r="AG122" s="124" t="s">
        <v>691</v>
      </c>
      <c r="AH122" s="124" t="s">
        <v>741</v>
      </c>
      <c r="AI122" s="127" t="s">
        <v>278</v>
      </c>
    </row>
    <row r="123" spans="1:35" x14ac:dyDescent="0.3">
      <c r="A123" s="124"/>
      <c r="B123" s="124"/>
      <c r="C123" s="124"/>
      <c r="D123" s="124"/>
      <c r="E123" s="124"/>
      <c r="F123" s="124"/>
      <c r="G123" s="124"/>
      <c r="H123" s="124"/>
      <c r="I123" s="124">
        <f t="shared" si="8"/>
        <v>0</v>
      </c>
      <c r="J123" s="124" t="str">
        <v/>
      </c>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t="s">
        <v>690</v>
      </c>
      <c r="AG123" s="124" t="s">
        <v>635</v>
      </c>
      <c r="AH123" s="124" t="s">
        <v>741</v>
      </c>
      <c r="AI123" s="127" t="s">
        <v>279</v>
      </c>
    </row>
    <row r="124" spans="1:35" x14ac:dyDescent="0.3">
      <c r="A124" s="124"/>
      <c r="B124" s="124"/>
      <c r="C124" s="124"/>
      <c r="D124" s="124"/>
      <c r="E124" s="124"/>
      <c r="F124" s="124"/>
      <c r="G124" s="124"/>
      <c r="H124" s="124"/>
      <c r="I124" s="124">
        <f t="shared" si="8"/>
        <v>0</v>
      </c>
      <c r="J124" s="124" t="str">
        <v/>
      </c>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t="s">
        <v>690</v>
      </c>
      <c r="AG124" s="124" t="s">
        <v>692</v>
      </c>
      <c r="AH124" s="124" t="s">
        <v>741</v>
      </c>
      <c r="AI124" s="127" t="s">
        <v>280</v>
      </c>
    </row>
    <row r="125" spans="1:35" x14ac:dyDescent="0.3">
      <c r="A125" s="124"/>
      <c r="B125" s="124"/>
      <c r="C125" s="124"/>
      <c r="D125" s="124"/>
      <c r="E125" s="124"/>
      <c r="F125" s="124"/>
      <c r="G125" s="124"/>
      <c r="H125" s="124"/>
      <c r="I125" s="124">
        <f t="shared" si="8"/>
        <v>0</v>
      </c>
      <c r="J125" s="124" t="str">
        <v/>
      </c>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t="s">
        <v>690</v>
      </c>
      <c r="AG125" s="124" t="s">
        <v>693</v>
      </c>
      <c r="AH125" s="124" t="s">
        <v>741</v>
      </c>
      <c r="AI125" s="127" t="s">
        <v>281</v>
      </c>
    </row>
    <row r="126" spans="1:35" x14ac:dyDescent="0.3">
      <c r="A126" s="124"/>
      <c r="B126" s="124"/>
      <c r="C126" s="124"/>
      <c r="D126" s="124"/>
      <c r="E126" s="124"/>
      <c r="F126" s="124"/>
      <c r="G126" s="124"/>
      <c r="H126" s="124"/>
      <c r="I126" s="124">
        <f t="shared" si="8"/>
        <v>0</v>
      </c>
      <c r="J126" s="124" t="str">
        <v/>
      </c>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t="s">
        <v>690</v>
      </c>
      <c r="AG126" s="124" t="s">
        <v>638</v>
      </c>
      <c r="AH126" s="124" t="s">
        <v>741</v>
      </c>
      <c r="AI126" s="127" t="s">
        <v>282</v>
      </c>
    </row>
    <row r="127" spans="1:35" x14ac:dyDescent="0.3">
      <c r="A127" s="124"/>
      <c r="B127" s="124"/>
      <c r="C127" s="124"/>
      <c r="D127" s="124"/>
      <c r="E127" s="124"/>
      <c r="F127" s="124"/>
      <c r="G127" s="124"/>
      <c r="H127" s="124"/>
      <c r="I127" s="124">
        <f t="shared" si="8"/>
        <v>0</v>
      </c>
      <c r="J127" s="124" t="str">
        <v/>
      </c>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t="s">
        <v>690</v>
      </c>
      <c r="AG127" s="124" t="s">
        <v>620</v>
      </c>
      <c r="AH127" s="124" t="s">
        <v>741</v>
      </c>
      <c r="AI127" s="127" t="s">
        <v>283</v>
      </c>
    </row>
    <row r="128" spans="1:35" x14ac:dyDescent="0.3">
      <c r="A128" s="124"/>
      <c r="B128" s="124"/>
      <c r="C128" s="124"/>
      <c r="D128" s="124"/>
      <c r="E128" s="124"/>
      <c r="F128" s="124"/>
      <c r="G128" s="124"/>
      <c r="H128" s="124"/>
      <c r="I128" s="124">
        <f t="shared" si="8"/>
        <v>0</v>
      </c>
      <c r="J128" s="124" t="str">
        <v/>
      </c>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t="s">
        <v>690</v>
      </c>
      <c r="AG128" s="124" t="s">
        <v>694</v>
      </c>
      <c r="AH128" s="124" t="s">
        <v>741</v>
      </c>
      <c r="AI128" s="127" t="s">
        <v>284</v>
      </c>
    </row>
    <row r="129" spans="1:35" x14ac:dyDescent="0.3">
      <c r="A129" s="124"/>
      <c r="B129" s="124"/>
      <c r="C129" s="124"/>
      <c r="D129" s="124"/>
      <c r="E129" s="124"/>
      <c r="F129" s="124"/>
      <c r="G129" s="124"/>
      <c r="H129" s="124"/>
      <c r="I129" s="124">
        <f t="shared" si="8"/>
        <v>0</v>
      </c>
      <c r="J129" s="124" t="str">
        <v/>
      </c>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t="s">
        <v>695</v>
      </c>
      <c r="AG129" s="124" t="s">
        <v>614</v>
      </c>
      <c r="AH129" s="124" t="s">
        <v>742</v>
      </c>
      <c r="AI129" s="127" t="s">
        <v>285</v>
      </c>
    </row>
    <row r="130" spans="1:35" x14ac:dyDescent="0.3">
      <c r="A130" s="124"/>
      <c r="B130" s="124"/>
      <c r="C130" s="124"/>
      <c r="D130" s="124"/>
      <c r="E130" s="124"/>
      <c r="F130" s="124"/>
      <c r="G130" s="124"/>
      <c r="H130" s="124"/>
      <c r="I130" s="124">
        <f t="shared" si="8"/>
        <v>0</v>
      </c>
      <c r="J130" s="124" t="str">
        <v/>
      </c>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t="s">
        <v>695</v>
      </c>
      <c r="AG130" s="124" t="s">
        <v>696</v>
      </c>
      <c r="AH130" s="124" t="s">
        <v>742</v>
      </c>
      <c r="AI130" s="127" t="s">
        <v>286</v>
      </c>
    </row>
    <row r="131" spans="1:35" x14ac:dyDescent="0.3">
      <c r="A131" s="124"/>
      <c r="B131" s="124"/>
      <c r="C131" s="124"/>
      <c r="D131" s="124"/>
      <c r="E131" s="124"/>
      <c r="F131" s="124"/>
      <c r="G131" s="124"/>
      <c r="H131" s="124"/>
      <c r="I131" s="124">
        <f t="shared" ref="I131:I194" si="9">IF(J131="",I130,I130+1)</f>
        <v>0</v>
      </c>
      <c r="J131" s="124" t="str">
        <v/>
      </c>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t="s">
        <v>695</v>
      </c>
      <c r="AG131" s="124" t="s">
        <v>697</v>
      </c>
      <c r="AH131" s="124" t="s">
        <v>742</v>
      </c>
      <c r="AI131" s="127" t="s">
        <v>287</v>
      </c>
    </row>
    <row r="132" spans="1:35" x14ac:dyDescent="0.3">
      <c r="A132" s="124"/>
      <c r="B132" s="124"/>
      <c r="C132" s="124"/>
      <c r="D132" s="124"/>
      <c r="E132" s="124"/>
      <c r="F132" s="124"/>
      <c r="G132" s="124"/>
      <c r="H132" s="124"/>
      <c r="I132" s="124">
        <f t="shared" si="9"/>
        <v>0</v>
      </c>
      <c r="J132" s="124" t="str">
        <v/>
      </c>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t="s">
        <v>695</v>
      </c>
      <c r="AG132" s="124" t="s">
        <v>698</v>
      </c>
      <c r="AH132" s="124" t="s">
        <v>742</v>
      </c>
      <c r="AI132" s="127" t="s">
        <v>288</v>
      </c>
    </row>
    <row r="133" spans="1:35" x14ac:dyDescent="0.3">
      <c r="A133" s="124"/>
      <c r="B133" s="124"/>
      <c r="C133" s="124"/>
      <c r="D133" s="124"/>
      <c r="E133" s="124"/>
      <c r="F133" s="124"/>
      <c r="G133" s="124"/>
      <c r="H133" s="124"/>
      <c r="I133" s="124">
        <f t="shared" si="9"/>
        <v>0</v>
      </c>
      <c r="J133" s="124" t="str">
        <v/>
      </c>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t="s">
        <v>695</v>
      </c>
      <c r="AG133" s="124" t="s">
        <v>650</v>
      </c>
      <c r="AH133" s="124" t="s">
        <v>742</v>
      </c>
      <c r="AI133" s="127" t="s">
        <v>289</v>
      </c>
    </row>
    <row r="134" spans="1:35" x14ac:dyDescent="0.3">
      <c r="A134" s="124"/>
      <c r="B134" s="124"/>
      <c r="C134" s="124"/>
      <c r="D134" s="124"/>
      <c r="E134" s="124"/>
      <c r="F134" s="124"/>
      <c r="G134" s="124"/>
      <c r="H134" s="124"/>
      <c r="I134" s="124">
        <f t="shared" si="9"/>
        <v>0</v>
      </c>
      <c r="J134" s="124" t="str">
        <v/>
      </c>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t="s">
        <v>695</v>
      </c>
      <c r="AG134" s="124" t="s">
        <v>699</v>
      </c>
      <c r="AH134" s="124" t="s">
        <v>742</v>
      </c>
      <c r="AI134" s="127" t="s">
        <v>290</v>
      </c>
    </row>
    <row r="135" spans="1:35" x14ac:dyDescent="0.3">
      <c r="A135" s="124"/>
      <c r="B135" s="124"/>
      <c r="C135" s="124"/>
      <c r="D135" s="124"/>
      <c r="E135" s="124"/>
      <c r="F135" s="124"/>
      <c r="G135" s="124"/>
      <c r="H135" s="124"/>
      <c r="I135" s="124">
        <f t="shared" si="9"/>
        <v>0</v>
      </c>
      <c r="J135" s="124" t="str">
        <v/>
      </c>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t="s">
        <v>695</v>
      </c>
      <c r="AG135" s="124" t="s">
        <v>700</v>
      </c>
      <c r="AH135" s="124" t="s">
        <v>742</v>
      </c>
      <c r="AI135" s="127" t="s">
        <v>291</v>
      </c>
    </row>
    <row r="136" spans="1:35" x14ac:dyDescent="0.3">
      <c r="A136" s="124"/>
      <c r="B136" s="124"/>
      <c r="C136" s="124"/>
      <c r="D136" s="124"/>
      <c r="E136" s="124"/>
      <c r="F136" s="124"/>
      <c r="G136" s="124"/>
      <c r="H136" s="124"/>
      <c r="I136" s="124">
        <f t="shared" si="9"/>
        <v>0</v>
      </c>
      <c r="J136" s="124" t="str">
        <v/>
      </c>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t="s">
        <v>695</v>
      </c>
      <c r="AG136" s="124" t="s">
        <v>619</v>
      </c>
      <c r="AH136" s="124" t="s">
        <v>742</v>
      </c>
      <c r="AI136" s="127" t="s">
        <v>292</v>
      </c>
    </row>
    <row r="137" spans="1:35" x14ac:dyDescent="0.3">
      <c r="A137" s="124"/>
      <c r="B137" s="124"/>
      <c r="C137" s="124"/>
      <c r="D137" s="124"/>
      <c r="E137" s="124"/>
      <c r="F137" s="124"/>
      <c r="G137" s="124"/>
      <c r="H137" s="124"/>
      <c r="I137" s="124">
        <f t="shared" si="9"/>
        <v>0</v>
      </c>
      <c r="J137" s="124" t="str">
        <v/>
      </c>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t="s">
        <v>695</v>
      </c>
      <c r="AG137" s="124" t="s">
        <v>701</v>
      </c>
      <c r="AH137" s="124" t="s">
        <v>742</v>
      </c>
      <c r="AI137" s="127" t="s">
        <v>293</v>
      </c>
    </row>
    <row r="138" spans="1:35" x14ac:dyDescent="0.3">
      <c r="A138" s="124"/>
      <c r="B138" s="124"/>
      <c r="C138" s="124"/>
      <c r="D138" s="124"/>
      <c r="E138" s="124"/>
      <c r="F138" s="124"/>
      <c r="G138" s="124"/>
      <c r="H138" s="124"/>
      <c r="I138" s="124">
        <f t="shared" si="9"/>
        <v>0</v>
      </c>
      <c r="J138" s="124" t="str">
        <v/>
      </c>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t="s">
        <v>695</v>
      </c>
      <c r="AG138" s="124" t="s">
        <v>672</v>
      </c>
      <c r="AH138" s="124" t="s">
        <v>742</v>
      </c>
      <c r="AI138" s="127" t="s">
        <v>294</v>
      </c>
    </row>
    <row r="139" spans="1:35" x14ac:dyDescent="0.3">
      <c r="A139" s="124"/>
      <c r="B139" s="124"/>
      <c r="C139" s="124"/>
      <c r="D139" s="124"/>
      <c r="E139" s="124"/>
      <c r="F139" s="124"/>
      <c r="G139" s="124"/>
      <c r="H139" s="124"/>
      <c r="I139" s="124">
        <f t="shared" si="9"/>
        <v>0</v>
      </c>
      <c r="J139" s="124" t="str">
        <v/>
      </c>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t="s">
        <v>695</v>
      </c>
      <c r="AG139" s="124" t="s">
        <v>702</v>
      </c>
      <c r="AH139" s="124" t="s">
        <v>742</v>
      </c>
      <c r="AI139" s="127" t="s">
        <v>295</v>
      </c>
    </row>
    <row r="140" spans="1:35" x14ac:dyDescent="0.3">
      <c r="A140" s="124"/>
      <c r="B140" s="124"/>
      <c r="C140" s="124"/>
      <c r="D140" s="124"/>
      <c r="E140" s="124"/>
      <c r="F140" s="124"/>
      <c r="G140" s="124"/>
      <c r="H140" s="124"/>
      <c r="I140" s="124">
        <f t="shared" si="9"/>
        <v>0</v>
      </c>
      <c r="J140" s="124" t="str">
        <v/>
      </c>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t="s">
        <v>695</v>
      </c>
      <c r="AG140" s="124" t="s">
        <v>703</v>
      </c>
      <c r="AH140" s="124" t="s">
        <v>742</v>
      </c>
      <c r="AI140" s="127" t="s">
        <v>296</v>
      </c>
    </row>
    <row r="141" spans="1:35" x14ac:dyDescent="0.3">
      <c r="A141" s="124"/>
      <c r="B141" s="124"/>
      <c r="C141" s="124"/>
      <c r="D141" s="124"/>
      <c r="E141" s="124"/>
      <c r="F141" s="124"/>
      <c r="G141" s="124"/>
      <c r="H141" s="124"/>
      <c r="I141" s="124">
        <f t="shared" si="9"/>
        <v>0</v>
      </c>
      <c r="J141" s="124" t="str">
        <v/>
      </c>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t="s">
        <v>704</v>
      </c>
      <c r="AG141" s="124" t="s">
        <v>705</v>
      </c>
      <c r="AH141" s="124" t="s">
        <v>743</v>
      </c>
      <c r="AI141" s="127" t="s">
        <v>297</v>
      </c>
    </row>
    <row r="142" spans="1:35" x14ac:dyDescent="0.3">
      <c r="A142" s="124"/>
      <c r="B142" s="124"/>
      <c r="C142" s="124"/>
      <c r="D142" s="124"/>
      <c r="E142" s="124"/>
      <c r="F142" s="124"/>
      <c r="G142" s="124"/>
      <c r="H142" s="124"/>
      <c r="I142" s="124">
        <f t="shared" si="9"/>
        <v>0</v>
      </c>
      <c r="J142" s="124" t="str" cm="1">
        <f t="array" ref="J142:J161">TRANSPOSE(L34:AE34)</f>
        <v/>
      </c>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t="s">
        <v>704</v>
      </c>
      <c r="AG142" s="124" t="s">
        <v>682</v>
      </c>
      <c r="AH142" s="124" t="s">
        <v>743</v>
      </c>
      <c r="AI142" s="127" t="s">
        <v>298</v>
      </c>
    </row>
    <row r="143" spans="1:35" x14ac:dyDescent="0.3">
      <c r="A143" s="124"/>
      <c r="B143" s="124"/>
      <c r="C143" s="124"/>
      <c r="D143" s="124"/>
      <c r="E143" s="124"/>
      <c r="F143" s="124"/>
      <c r="G143" s="124"/>
      <c r="H143" s="124"/>
      <c r="I143" s="124">
        <f t="shared" si="9"/>
        <v>0</v>
      </c>
      <c r="J143" s="124" t="str">
        <v/>
      </c>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t="s">
        <v>704</v>
      </c>
      <c r="AG143" s="124" t="s">
        <v>647</v>
      </c>
      <c r="AH143" s="124" t="s">
        <v>743</v>
      </c>
      <c r="AI143" s="127" t="s">
        <v>299</v>
      </c>
    </row>
    <row r="144" spans="1:35" x14ac:dyDescent="0.3">
      <c r="A144" s="124"/>
      <c r="B144" s="124"/>
      <c r="C144" s="124"/>
      <c r="D144" s="124"/>
      <c r="E144" s="124"/>
      <c r="F144" s="124"/>
      <c r="G144" s="124"/>
      <c r="H144" s="124"/>
      <c r="I144" s="124">
        <f t="shared" si="9"/>
        <v>0</v>
      </c>
      <c r="J144" s="124" t="str">
        <v/>
      </c>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t="s">
        <v>704</v>
      </c>
      <c r="AG144" s="124" t="s">
        <v>648</v>
      </c>
      <c r="AH144" s="124" t="s">
        <v>743</v>
      </c>
      <c r="AI144" s="127" t="s">
        <v>300</v>
      </c>
    </row>
    <row r="145" spans="1:35" x14ac:dyDescent="0.3">
      <c r="A145" s="124"/>
      <c r="B145" s="124"/>
      <c r="C145" s="124"/>
      <c r="D145" s="124"/>
      <c r="E145" s="124"/>
      <c r="F145" s="124"/>
      <c r="G145" s="124"/>
      <c r="H145" s="124"/>
      <c r="I145" s="124">
        <f t="shared" si="9"/>
        <v>0</v>
      </c>
      <c r="J145" s="124" t="str">
        <v/>
      </c>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t="s">
        <v>704</v>
      </c>
      <c r="AG145" s="124" t="s">
        <v>706</v>
      </c>
      <c r="AH145" s="124" t="s">
        <v>743</v>
      </c>
      <c r="AI145" s="127" t="s">
        <v>301</v>
      </c>
    </row>
    <row r="146" spans="1:35" x14ac:dyDescent="0.3">
      <c r="A146" s="124"/>
      <c r="B146" s="124"/>
      <c r="C146" s="124"/>
      <c r="D146" s="124"/>
      <c r="E146" s="124"/>
      <c r="F146" s="124"/>
      <c r="G146" s="124"/>
      <c r="H146" s="124"/>
      <c r="I146" s="124">
        <f t="shared" si="9"/>
        <v>0</v>
      </c>
      <c r="J146" s="124" t="str">
        <v/>
      </c>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t="s">
        <v>704</v>
      </c>
      <c r="AG146" s="124" t="s">
        <v>707</v>
      </c>
      <c r="AH146" s="124" t="s">
        <v>743</v>
      </c>
      <c r="AI146" s="127" t="s">
        <v>302</v>
      </c>
    </row>
    <row r="147" spans="1:35" x14ac:dyDescent="0.3">
      <c r="A147" s="124"/>
      <c r="B147" s="124"/>
      <c r="C147" s="124"/>
      <c r="D147" s="124"/>
      <c r="E147" s="124"/>
      <c r="F147" s="124"/>
      <c r="G147" s="124"/>
      <c r="H147" s="124"/>
      <c r="I147" s="124">
        <f t="shared" si="9"/>
        <v>0</v>
      </c>
      <c r="J147" s="124" t="str">
        <v/>
      </c>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t="s">
        <v>704</v>
      </c>
      <c r="AG147" s="124" t="s">
        <v>708</v>
      </c>
      <c r="AH147" s="124" t="s">
        <v>743</v>
      </c>
      <c r="AI147" s="127" t="s">
        <v>303</v>
      </c>
    </row>
    <row r="148" spans="1:35" x14ac:dyDescent="0.3">
      <c r="A148" s="124"/>
      <c r="B148" s="124"/>
      <c r="C148" s="124"/>
      <c r="D148" s="124"/>
      <c r="E148" s="124"/>
      <c r="F148" s="124"/>
      <c r="G148" s="124"/>
      <c r="H148" s="124"/>
      <c r="I148" s="124">
        <f t="shared" si="9"/>
        <v>0</v>
      </c>
      <c r="J148" s="124" t="str">
        <v/>
      </c>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t="s">
        <v>704</v>
      </c>
      <c r="AG148" s="124" t="s">
        <v>709</v>
      </c>
      <c r="AH148" s="124" t="s">
        <v>743</v>
      </c>
      <c r="AI148" s="127" t="s">
        <v>304</v>
      </c>
    </row>
    <row r="149" spans="1:35" x14ac:dyDescent="0.3">
      <c r="A149" s="124"/>
      <c r="B149" s="124"/>
      <c r="C149" s="124"/>
      <c r="D149" s="124"/>
      <c r="E149" s="124"/>
      <c r="F149" s="124"/>
      <c r="G149" s="124"/>
      <c r="H149" s="124"/>
      <c r="I149" s="124">
        <f t="shared" si="9"/>
        <v>0</v>
      </c>
      <c r="J149" s="124" t="str">
        <v/>
      </c>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t="s">
        <v>704</v>
      </c>
      <c r="AG149" s="124" t="s">
        <v>710</v>
      </c>
      <c r="AH149" s="124" t="s">
        <v>743</v>
      </c>
      <c r="AI149" s="127" t="s">
        <v>305</v>
      </c>
    </row>
    <row r="150" spans="1:35" x14ac:dyDescent="0.3">
      <c r="A150" s="124"/>
      <c r="B150" s="124"/>
      <c r="C150" s="124"/>
      <c r="D150" s="124"/>
      <c r="E150" s="124"/>
      <c r="F150" s="124"/>
      <c r="G150" s="124"/>
      <c r="H150" s="124"/>
      <c r="I150" s="124">
        <f t="shared" si="9"/>
        <v>0</v>
      </c>
      <c r="J150" s="124" t="str">
        <v/>
      </c>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t="s">
        <v>704</v>
      </c>
      <c r="AG150" s="124" t="s">
        <v>617</v>
      </c>
      <c r="AH150" s="124" t="s">
        <v>743</v>
      </c>
      <c r="AI150" s="127" t="s">
        <v>306</v>
      </c>
    </row>
    <row r="151" spans="1:35" x14ac:dyDescent="0.3">
      <c r="A151" s="124"/>
      <c r="B151" s="124"/>
      <c r="C151" s="124"/>
      <c r="D151" s="124"/>
      <c r="E151" s="124"/>
      <c r="F151" s="124"/>
      <c r="G151" s="124"/>
      <c r="H151" s="124"/>
      <c r="I151" s="124">
        <f t="shared" si="9"/>
        <v>0</v>
      </c>
      <c r="J151" s="124" t="str">
        <v/>
      </c>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t="s">
        <v>704</v>
      </c>
      <c r="AG151" s="124" t="s">
        <v>711</v>
      </c>
      <c r="AH151" s="124" t="s">
        <v>743</v>
      </c>
      <c r="AI151" s="127" t="s">
        <v>307</v>
      </c>
    </row>
    <row r="152" spans="1:35" x14ac:dyDescent="0.3">
      <c r="A152" s="124"/>
      <c r="B152" s="124"/>
      <c r="C152" s="124"/>
      <c r="D152" s="124"/>
      <c r="E152" s="124"/>
      <c r="F152" s="124"/>
      <c r="G152" s="124"/>
      <c r="H152" s="124"/>
      <c r="I152" s="124">
        <f t="shared" si="9"/>
        <v>0</v>
      </c>
      <c r="J152" s="124" t="str">
        <v/>
      </c>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t="s">
        <v>712</v>
      </c>
      <c r="AG152" s="124" t="s">
        <v>665</v>
      </c>
      <c r="AH152" s="124" t="s">
        <v>744</v>
      </c>
      <c r="AI152" s="127" t="s">
        <v>308</v>
      </c>
    </row>
    <row r="153" spans="1:35" x14ac:dyDescent="0.3">
      <c r="A153" s="124"/>
      <c r="B153" s="124"/>
      <c r="C153" s="124"/>
      <c r="D153" s="124"/>
      <c r="E153" s="124"/>
      <c r="F153" s="124"/>
      <c r="G153" s="124"/>
      <c r="H153" s="124"/>
      <c r="I153" s="124">
        <f t="shared" si="9"/>
        <v>0</v>
      </c>
      <c r="J153" s="124" t="str">
        <v/>
      </c>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t="s">
        <v>712</v>
      </c>
      <c r="AG153" s="124" t="s">
        <v>650</v>
      </c>
      <c r="AH153" s="124" t="s">
        <v>744</v>
      </c>
      <c r="AI153" s="127" t="s">
        <v>309</v>
      </c>
    </row>
    <row r="154" spans="1:35" x14ac:dyDescent="0.3">
      <c r="A154" s="124"/>
      <c r="B154" s="124"/>
      <c r="C154" s="124"/>
      <c r="D154" s="124"/>
      <c r="E154" s="124"/>
      <c r="F154" s="124"/>
      <c r="G154" s="124"/>
      <c r="H154" s="124"/>
      <c r="I154" s="124">
        <f t="shared" si="9"/>
        <v>0</v>
      </c>
      <c r="J154" s="124" t="str">
        <v/>
      </c>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t="s">
        <v>712</v>
      </c>
      <c r="AG154" s="124" t="s">
        <v>683</v>
      </c>
      <c r="AH154" s="124" t="s">
        <v>744</v>
      </c>
      <c r="AI154" s="127" t="s">
        <v>310</v>
      </c>
    </row>
    <row r="155" spans="1:35" x14ac:dyDescent="0.3">
      <c r="A155" s="124"/>
      <c r="B155" s="124"/>
      <c r="C155" s="124"/>
      <c r="D155" s="124"/>
      <c r="E155" s="124"/>
      <c r="F155" s="124"/>
      <c r="G155" s="124"/>
      <c r="H155" s="124"/>
      <c r="I155" s="124">
        <f t="shared" si="9"/>
        <v>0</v>
      </c>
      <c r="J155" s="124" t="str">
        <v/>
      </c>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t="s">
        <v>712</v>
      </c>
      <c r="AG155" s="124" t="s">
        <v>651</v>
      </c>
      <c r="AH155" s="124" t="s">
        <v>744</v>
      </c>
      <c r="AI155" s="127" t="s">
        <v>311</v>
      </c>
    </row>
    <row r="156" spans="1:35" x14ac:dyDescent="0.3">
      <c r="A156" s="124"/>
      <c r="B156" s="124"/>
      <c r="C156" s="124"/>
      <c r="D156" s="124"/>
      <c r="E156" s="124"/>
      <c r="F156" s="124"/>
      <c r="G156" s="124"/>
      <c r="H156" s="124"/>
      <c r="I156" s="124">
        <f t="shared" si="9"/>
        <v>0</v>
      </c>
      <c r="J156" s="124" t="str">
        <v/>
      </c>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t="s">
        <v>712</v>
      </c>
      <c r="AG156" s="124" t="s">
        <v>713</v>
      </c>
      <c r="AH156" s="124" t="s">
        <v>744</v>
      </c>
      <c r="AI156" s="127" t="s">
        <v>312</v>
      </c>
    </row>
    <row r="157" spans="1:35" x14ac:dyDescent="0.3">
      <c r="A157" s="124"/>
      <c r="B157" s="124"/>
      <c r="C157" s="124"/>
      <c r="D157" s="124"/>
      <c r="E157" s="124"/>
      <c r="F157" s="124"/>
      <c r="G157" s="124"/>
      <c r="H157" s="124"/>
      <c r="I157" s="124">
        <f t="shared" si="9"/>
        <v>0</v>
      </c>
      <c r="J157" s="124" t="str">
        <v/>
      </c>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t="s">
        <v>712</v>
      </c>
      <c r="AG157" s="124" t="s">
        <v>672</v>
      </c>
      <c r="AH157" s="124" t="s">
        <v>744</v>
      </c>
      <c r="AI157" s="127" t="s">
        <v>313</v>
      </c>
    </row>
    <row r="158" spans="1:35" x14ac:dyDescent="0.3">
      <c r="A158" s="124"/>
      <c r="B158" s="124"/>
      <c r="C158" s="124"/>
      <c r="D158" s="124"/>
      <c r="E158" s="124"/>
      <c r="F158" s="124"/>
      <c r="G158" s="124"/>
      <c r="H158" s="124"/>
      <c r="I158" s="124">
        <f t="shared" si="9"/>
        <v>0</v>
      </c>
      <c r="J158" s="124" t="str">
        <v/>
      </c>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t="s">
        <v>712</v>
      </c>
      <c r="AG158" s="124" t="s">
        <v>673</v>
      </c>
      <c r="AH158" s="124" t="s">
        <v>744</v>
      </c>
      <c r="AI158" s="127" t="s">
        <v>314</v>
      </c>
    </row>
    <row r="159" spans="1:35" x14ac:dyDescent="0.3">
      <c r="A159" s="124"/>
      <c r="B159" s="124"/>
      <c r="C159" s="124"/>
      <c r="D159" s="124"/>
      <c r="E159" s="124"/>
      <c r="F159" s="124"/>
      <c r="G159" s="124"/>
      <c r="H159" s="124"/>
      <c r="I159" s="124">
        <f t="shared" si="9"/>
        <v>0</v>
      </c>
      <c r="J159" s="124" t="str">
        <v/>
      </c>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t="s">
        <v>712</v>
      </c>
      <c r="AG159" s="124" t="s">
        <v>689</v>
      </c>
      <c r="AH159" s="124" t="s">
        <v>744</v>
      </c>
      <c r="AI159" s="127" t="s">
        <v>315</v>
      </c>
    </row>
    <row r="160" spans="1:35" x14ac:dyDescent="0.3">
      <c r="A160" s="124"/>
      <c r="B160" s="124"/>
      <c r="C160" s="124"/>
      <c r="D160" s="124"/>
      <c r="E160" s="124"/>
      <c r="F160" s="124"/>
      <c r="G160" s="124"/>
      <c r="H160" s="124"/>
      <c r="I160" s="124">
        <f t="shared" si="9"/>
        <v>0</v>
      </c>
      <c r="J160" s="124" t="str">
        <v/>
      </c>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t="s">
        <v>714</v>
      </c>
      <c r="AG160" s="124" t="s">
        <v>715</v>
      </c>
      <c r="AH160" s="124" t="s">
        <v>745</v>
      </c>
      <c r="AI160" s="127" t="s">
        <v>316</v>
      </c>
    </row>
    <row r="161" spans="1:35" x14ac:dyDescent="0.3">
      <c r="A161" s="124"/>
      <c r="B161" s="124"/>
      <c r="C161" s="124"/>
      <c r="D161" s="124"/>
      <c r="E161" s="124"/>
      <c r="F161" s="124"/>
      <c r="G161" s="124"/>
      <c r="H161" s="124"/>
      <c r="I161" s="124">
        <f t="shared" si="9"/>
        <v>0</v>
      </c>
      <c r="J161" s="124" t="str">
        <v/>
      </c>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t="s">
        <v>714</v>
      </c>
      <c r="AG161" s="124" t="s">
        <v>650</v>
      </c>
      <c r="AH161" s="124" t="s">
        <v>745</v>
      </c>
      <c r="AI161" s="127" t="s">
        <v>317</v>
      </c>
    </row>
    <row r="162" spans="1:35" x14ac:dyDescent="0.3">
      <c r="A162" s="124"/>
      <c r="B162" s="124"/>
      <c r="C162" s="124"/>
      <c r="D162" s="124"/>
      <c r="E162" s="124"/>
      <c r="F162" s="124"/>
      <c r="G162" s="124"/>
      <c r="H162" s="124"/>
      <c r="I162" s="124">
        <f t="shared" si="9"/>
        <v>0</v>
      </c>
      <c r="J162" s="124" t="str" cm="1">
        <f t="array" ref="J162:J181">TRANSPOSE(L35:AE35)</f>
        <v/>
      </c>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t="s">
        <v>714</v>
      </c>
      <c r="AG162" s="124" t="s">
        <v>716</v>
      </c>
      <c r="AH162" s="124" t="s">
        <v>745</v>
      </c>
      <c r="AI162" s="127" t="s">
        <v>318</v>
      </c>
    </row>
    <row r="163" spans="1:35" x14ac:dyDescent="0.3">
      <c r="A163" s="124"/>
      <c r="B163" s="124"/>
      <c r="C163" s="124"/>
      <c r="D163" s="124"/>
      <c r="E163" s="124"/>
      <c r="F163" s="124"/>
      <c r="G163" s="124"/>
      <c r="H163" s="124"/>
      <c r="I163" s="124">
        <f t="shared" si="9"/>
        <v>0</v>
      </c>
      <c r="J163" s="124" t="str">
        <v/>
      </c>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t="s">
        <v>714</v>
      </c>
      <c r="AG163" s="124" t="s">
        <v>717</v>
      </c>
      <c r="AH163" s="124" t="s">
        <v>745</v>
      </c>
      <c r="AI163" s="127" t="s">
        <v>319</v>
      </c>
    </row>
    <row r="164" spans="1:35" x14ac:dyDescent="0.3">
      <c r="A164" s="124"/>
      <c r="B164" s="124"/>
      <c r="C164" s="124"/>
      <c r="D164" s="124"/>
      <c r="E164" s="124"/>
      <c r="F164" s="124"/>
      <c r="G164" s="124"/>
      <c r="H164" s="124"/>
      <c r="I164" s="124">
        <f t="shared" si="9"/>
        <v>0</v>
      </c>
      <c r="J164" s="124" t="str">
        <v/>
      </c>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t="s">
        <v>714</v>
      </c>
      <c r="AG164" s="124" t="s">
        <v>718</v>
      </c>
      <c r="AH164" s="124" t="s">
        <v>745</v>
      </c>
      <c r="AI164" s="127" t="s">
        <v>320</v>
      </c>
    </row>
    <row r="165" spans="1:35" x14ac:dyDescent="0.3">
      <c r="A165" s="124"/>
      <c r="B165" s="124"/>
      <c r="C165" s="124"/>
      <c r="D165" s="124"/>
      <c r="E165" s="124"/>
      <c r="F165" s="124"/>
      <c r="G165" s="124"/>
      <c r="H165" s="124"/>
      <c r="I165" s="124">
        <f t="shared" si="9"/>
        <v>0</v>
      </c>
      <c r="J165" s="124" t="str">
        <v/>
      </c>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t="s">
        <v>714</v>
      </c>
      <c r="AG165" s="124" t="s">
        <v>620</v>
      </c>
      <c r="AH165" s="124" t="s">
        <v>745</v>
      </c>
      <c r="AI165" s="127" t="s">
        <v>321</v>
      </c>
    </row>
    <row r="166" spans="1:35" x14ac:dyDescent="0.3">
      <c r="A166" s="124"/>
      <c r="B166" s="124"/>
      <c r="C166" s="124"/>
      <c r="D166" s="124"/>
      <c r="E166" s="124"/>
      <c r="F166" s="124"/>
      <c r="G166" s="124"/>
      <c r="H166" s="124"/>
      <c r="I166" s="124">
        <f t="shared" si="9"/>
        <v>0</v>
      </c>
      <c r="J166" s="124" t="str">
        <v/>
      </c>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t="s">
        <v>714</v>
      </c>
      <c r="AG166" s="124" t="s">
        <v>686</v>
      </c>
      <c r="AH166" s="124" t="s">
        <v>745</v>
      </c>
      <c r="AI166" s="127" t="s">
        <v>322</v>
      </c>
    </row>
    <row r="167" spans="1:35" x14ac:dyDescent="0.3">
      <c r="A167" s="124"/>
      <c r="B167" s="124"/>
      <c r="C167" s="124"/>
      <c r="D167" s="124"/>
      <c r="E167" s="124"/>
      <c r="F167" s="124"/>
      <c r="G167" s="124"/>
      <c r="H167" s="124"/>
      <c r="I167" s="124">
        <f t="shared" si="9"/>
        <v>0</v>
      </c>
      <c r="J167" s="124" t="str">
        <v/>
      </c>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t="s">
        <v>714</v>
      </c>
      <c r="AG167" s="124" t="s">
        <v>719</v>
      </c>
      <c r="AH167" s="124" t="s">
        <v>745</v>
      </c>
      <c r="AI167" s="127" t="s">
        <v>323</v>
      </c>
    </row>
    <row r="168" spans="1:35" x14ac:dyDescent="0.3">
      <c r="A168" s="124"/>
      <c r="B168" s="124"/>
      <c r="C168" s="124"/>
      <c r="D168" s="124"/>
      <c r="E168" s="124"/>
      <c r="F168" s="124"/>
      <c r="G168" s="124"/>
      <c r="H168" s="124"/>
      <c r="I168" s="124">
        <f t="shared" si="9"/>
        <v>0</v>
      </c>
      <c r="J168" s="124" t="str">
        <v/>
      </c>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t="s">
        <v>720</v>
      </c>
      <c r="AG168" s="124" t="s">
        <v>721</v>
      </c>
      <c r="AH168" s="124" t="s">
        <v>746</v>
      </c>
      <c r="AI168" s="127" t="s">
        <v>324</v>
      </c>
    </row>
    <row r="169" spans="1:35" x14ac:dyDescent="0.3">
      <c r="A169" s="124"/>
      <c r="B169" s="124"/>
      <c r="C169" s="124"/>
      <c r="D169" s="124"/>
      <c r="E169" s="124"/>
      <c r="F169" s="124"/>
      <c r="G169" s="124"/>
      <c r="H169" s="124"/>
      <c r="I169" s="124">
        <f t="shared" si="9"/>
        <v>0</v>
      </c>
      <c r="J169" s="124" t="str">
        <v/>
      </c>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t="s">
        <v>720</v>
      </c>
      <c r="AG169" s="124" t="s">
        <v>722</v>
      </c>
      <c r="AH169" s="124" t="s">
        <v>746</v>
      </c>
      <c r="AI169" s="127" t="s">
        <v>325</v>
      </c>
    </row>
    <row r="170" spans="1:35" x14ac:dyDescent="0.3">
      <c r="A170" s="124"/>
      <c r="B170" s="124"/>
      <c r="C170" s="124"/>
      <c r="D170" s="124"/>
      <c r="E170" s="124"/>
      <c r="F170" s="124"/>
      <c r="G170" s="124"/>
      <c r="H170" s="124"/>
      <c r="I170" s="124">
        <f t="shared" si="9"/>
        <v>0</v>
      </c>
      <c r="J170" s="124" t="str">
        <v/>
      </c>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t="s">
        <v>723</v>
      </c>
      <c r="AG170" s="124" t="s">
        <v>644</v>
      </c>
      <c r="AH170" s="124" t="s">
        <v>747</v>
      </c>
      <c r="AI170" s="127" t="s">
        <v>326</v>
      </c>
    </row>
    <row r="171" spans="1:35" x14ac:dyDescent="0.3">
      <c r="A171" s="124"/>
      <c r="B171" s="124"/>
      <c r="C171" s="124"/>
      <c r="D171" s="124"/>
      <c r="E171" s="124"/>
      <c r="F171" s="124"/>
      <c r="G171" s="124"/>
      <c r="H171" s="124"/>
      <c r="I171" s="124">
        <f t="shared" si="9"/>
        <v>0</v>
      </c>
      <c r="J171" s="124" t="str">
        <v/>
      </c>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t="s">
        <v>723</v>
      </c>
      <c r="AG171" s="124" t="s">
        <v>645</v>
      </c>
      <c r="AH171" s="124" t="s">
        <v>747</v>
      </c>
      <c r="AI171" s="127" t="s">
        <v>327</v>
      </c>
    </row>
    <row r="172" spans="1:35" x14ac:dyDescent="0.3">
      <c r="A172" s="124"/>
      <c r="B172" s="124"/>
      <c r="C172" s="124"/>
      <c r="D172" s="124"/>
      <c r="E172" s="124"/>
      <c r="F172" s="124"/>
      <c r="G172" s="124"/>
      <c r="H172" s="124"/>
      <c r="I172" s="124">
        <f t="shared" si="9"/>
        <v>0</v>
      </c>
      <c r="J172" s="124" t="str">
        <v/>
      </c>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t="s">
        <v>723</v>
      </c>
      <c r="AG172" s="124" t="s">
        <v>646</v>
      </c>
      <c r="AH172" s="124" t="s">
        <v>747</v>
      </c>
      <c r="AI172" s="127" t="s">
        <v>328</v>
      </c>
    </row>
    <row r="173" spans="1:35" x14ac:dyDescent="0.3">
      <c r="A173" s="124"/>
      <c r="B173" s="124"/>
      <c r="C173" s="124"/>
      <c r="D173" s="124"/>
      <c r="E173" s="124"/>
      <c r="F173" s="124"/>
      <c r="G173" s="124"/>
      <c r="H173" s="124"/>
      <c r="I173" s="124">
        <f t="shared" si="9"/>
        <v>0</v>
      </c>
      <c r="J173" s="124" t="str">
        <v/>
      </c>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t="s">
        <v>723</v>
      </c>
      <c r="AG173" s="124" t="s">
        <v>649</v>
      </c>
      <c r="AH173" s="124" t="s">
        <v>747</v>
      </c>
      <c r="AI173" s="127" t="s">
        <v>329</v>
      </c>
    </row>
    <row r="174" spans="1:35" x14ac:dyDescent="0.3">
      <c r="A174" s="124"/>
      <c r="B174" s="124"/>
      <c r="C174" s="124"/>
      <c r="D174" s="124"/>
      <c r="E174" s="124"/>
      <c r="F174" s="124"/>
      <c r="G174" s="124"/>
      <c r="H174" s="124"/>
      <c r="I174" s="124">
        <f t="shared" si="9"/>
        <v>0</v>
      </c>
      <c r="J174" s="124" t="str">
        <v/>
      </c>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t="s">
        <v>723</v>
      </c>
      <c r="AG174" s="124" t="s">
        <v>724</v>
      </c>
      <c r="AH174" s="124" t="s">
        <v>747</v>
      </c>
      <c r="AI174" s="127" t="s">
        <v>330</v>
      </c>
    </row>
    <row r="175" spans="1:35" x14ac:dyDescent="0.3">
      <c r="A175" s="124"/>
      <c r="B175" s="124"/>
      <c r="C175" s="124"/>
      <c r="D175" s="124"/>
      <c r="E175" s="124"/>
      <c r="F175" s="124"/>
      <c r="G175" s="124"/>
      <c r="H175" s="124"/>
      <c r="I175" s="124">
        <f t="shared" si="9"/>
        <v>0</v>
      </c>
      <c r="J175" s="124" t="str">
        <v/>
      </c>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t="s">
        <v>723</v>
      </c>
      <c r="AG175" s="124" t="s">
        <v>671</v>
      </c>
      <c r="AH175" s="124" t="s">
        <v>747</v>
      </c>
      <c r="AI175" s="127" t="s">
        <v>331</v>
      </c>
    </row>
    <row r="176" spans="1:35" x14ac:dyDescent="0.3">
      <c r="A176" s="124"/>
      <c r="B176" s="124"/>
      <c r="C176" s="124"/>
      <c r="D176" s="124"/>
      <c r="E176" s="124"/>
      <c r="F176" s="124"/>
      <c r="G176" s="124"/>
      <c r="H176" s="124"/>
      <c r="I176" s="124">
        <f t="shared" si="9"/>
        <v>0</v>
      </c>
      <c r="J176" s="124" t="str">
        <v/>
      </c>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t="s">
        <v>723</v>
      </c>
      <c r="AG176" s="124" t="s">
        <v>654</v>
      </c>
      <c r="AH176" s="124" t="s">
        <v>747</v>
      </c>
      <c r="AI176" s="127" t="s">
        <v>332</v>
      </c>
    </row>
    <row r="177" spans="1:35" x14ac:dyDescent="0.3">
      <c r="A177" s="124"/>
      <c r="B177" s="124"/>
      <c r="C177" s="124"/>
      <c r="D177" s="124"/>
      <c r="E177" s="124"/>
      <c r="F177" s="124"/>
      <c r="G177" s="124"/>
      <c r="H177" s="124"/>
      <c r="I177" s="124">
        <f t="shared" si="9"/>
        <v>0</v>
      </c>
      <c r="J177" s="124" t="str">
        <v/>
      </c>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t="s">
        <v>723</v>
      </c>
      <c r="AG177" s="124" t="s">
        <v>622</v>
      </c>
      <c r="AH177" s="124" t="s">
        <v>747</v>
      </c>
      <c r="AI177" s="127" t="s">
        <v>333</v>
      </c>
    </row>
    <row r="178" spans="1:35" x14ac:dyDescent="0.3">
      <c r="A178" s="124"/>
      <c r="B178" s="124"/>
      <c r="C178" s="124"/>
      <c r="D178" s="124"/>
      <c r="E178" s="124"/>
      <c r="F178" s="124"/>
      <c r="G178" s="124"/>
      <c r="H178" s="124"/>
      <c r="I178" s="124">
        <f t="shared" si="9"/>
        <v>0</v>
      </c>
      <c r="J178" s="124" t="str">
        <v/>
      </c>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t="s">
        <v>723</v>
      </c>
      <c r="AG178" s="124" t="s">
        <v>725</v>
      </c>
      <c r="AH178" s="124" t="s">
        <v>747</v>
      </c>
      <c r="AI178" s="127" t="s">
        <v>334</v>
      </c>
    </row>
    <row r="179" spans="1:35" x14ac:dyDescent="0.3">
      <c r="A179" s="124"/>
      <c r="B179" s="124"/>
      <c r="C179" s="124"/>
      <c r="D179" s="124"/>
      <c r="E179" s="124"/>
      <c r="F179" s="124"/>
      <c r="G179" s="124"/>
      <c r="H179" s="124"/>
      <c r="I179" s="124">
        <f t="shared" si="9"/>
        <v>0</v>
      </c>
      <c r="J179" s="124" t="str">
        <v/>
      </c>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t="s">
        <v>726</v>
      </c>
      <c r="AG179" s="124" t="s">
        <v>727</v>
      </c>
      <c r="AH179" s="124" t="s">
        <v>634</v>
      </c>
      <c r="AI179" s="127" t="s">
        <v>335</v>
      </c>
    </row>
    <row r="180" spans="1:35" x14ac:dyDescent="0.3">
      <c r="A180" s="124"/>
      <c r="B180" s="124"/>
      <c r="C180" s="124"/>
      <c r="D180" s="124"/>
      <c r="E180" s="124"/>
      <c r="F180" s="124"/>
      <c r="G180" s="124"/>
      <c r="H180" s="124"/>
      <c r="I180" s="124">
        <f t="shared" si="9"/>
        <v>0</v>
      </c>
      <c r="J180" s="124" t="str">
        <v/>
      </c>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t="s">
        <v>726</v>
      </c>
      <c r="AG180" s="124" t="s">
        <v>618</v>
      </c>
      <c r="AH180" s="124" t="s">
        <v>634</v>
      </c>
      <c r="AI180" s="127" t="s">
        <v>336</v>
      </c>
    </row>
    <row r="181" spans="1:35" x14ac:dyDescent="0.3">
      <c r="A181" s="124"/>
      <c r="B181" s="124"/>
      <c r="C181" s="124"/>
      <c r="D181" s="124"/>
      <c r="E181" s="124"/>
      <c r="F181" s="124"/>
      <c r="G181" s="124"/>
      <c r="H181" s="124"/>
      <c r="I181" s="124">
        <f t="shared" si="9"/>
        <v>0</v>
      </c>
      <c r="J181" s="124" t="str">
        <v/>
      </c>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t="s">
        <v>726</v>
      </c>
      <c r="AG181" s="124" t="s">
        <v>636</v>
      </c>
      <c r="AH181" s="124" t="s">
        <v>634</v>
      </c>
      <c r="AI181" s="127" t="s">
        <v>337</v>
      </c>
    </row>
    <row r="182" spans="1:35" x14ac:dyDescent="0.3">
      <c r="A182" s="124"/>
      <c r="B182" s="124"/>
      <c r="C182" s="124"/>
      <c r="D182" s="124"/>
      <c r="E182" s="124"/>
      <c r="F182" s="124"/>
      <c r="G182" s="124"/>
      <c r="H182" s="124"/>
      <c r="I182" s="124">
        <f t="shared" si="9"/>
        <v>0</v>
      </c>
      <c r="J182" s="124" t="str" cm="1">
        <f t="array" ref="J182:J201">TRANSPOSE(L36:AE36)</f>
        <v/>
      </c>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t="s">
        <v>726</v>
      </c>
      <c r="AG182" s="124" t="s">
        <v>728</v>
      </c>
      <c r="AH182" s="124" t="s">
        <v>634</v>
      </c>
      <c r="AI182" s="127" t="s">
        <v>338</v>
      </c>
    </row>
    <row r="183" spans="1:35" x14ac:dyDescent="0.3">
      <c r="A183" s="124"/>
      <c r="B183" s="124"/>
      <c r="C183" s="124"/>
      <c r="D183" s="124"/>
      <c r="E183" s="124"/>
      <c r="F183" s="124"/>
      <c r="G183" s="124"/>
      <c r="H183" s="124"/>
      <c r="I183" s="124">
        <f t="shared" si="9"/>
        <v>0</v>
      </c>
      <c r="J183" s="124" t="str">
        <v/>
      </c>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t="s">
        <v>726</v>
      </c>
      <c r="AG183" s="124" t="s">
        <v>637</v>
      </c>
      <c r="AH183" s="124" t="s">
        <v>634</v>
      </c>
      <c r="AI183" s="127" t="s">
        <v>339</v>
      </c>
    </row>
    <row r="184" spans="1:35" x14ac:dyDescent="0.3">
      <c r="A184" s="124"/>
      <c r="B184" s="124"/>
      <c r="C184" s="124"/>
      <c r="D184" s="124"/>
      <c r="E184" s="124"/>
      <c r="F184" s="124"/>
      <c r="G184" s="124"/>
      <c r="H184" s="124"/>
      <c r="I184" s="124">
        <f t="shared" si="9"/>
        <v>0</v>
      </c>
      <c r="J184" s="124" t="str">
        <v/>
      </c>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t="s">
        <v>726</v>
      </c>
      <c r="AG184" s="124" t="s">
        <v>729</v>
      </c>
      <c r="AH184" s="124" t="s">
        <v>634</v>
      </c>
      <c r="AI184" s="127" t="s">
        <v>340</v>
      </c>
    </row>
    <row r="185" spans="1:35" x14ac:dyDescent="0.3">
      <c r="A185" s="124"/>
      <c r="B185" s="124"/>
      <c r="C185" s="124"/>
      <c r="D185" s="124"/>
      <c r="E185" s="124"/>
      <c r="F185" s="124"/>
      <c r="G185" s="124"/>
      <c r="H185" s="124"/>
      <c r="I185" s="124">
        <f t="shared" si="9"/>
        <v>0</v>
      </c>
      <c r="J185" s="124" t="str">
        <v/>
      </c>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t="s">
        <v>726</v>
      </c>
      <c r="AG185" s="124" t="s">
        <v>639</v>
      </c>
      <c r="AH185" s="124" t="s">
        <v>634</v>
      </c>
      <c r="AI185" s="127" t="s">
        <v>341</v>
      </c>
    </row>
    <row r="186" spans="1:35" x14ac:dyDescent="0.3">
      <c r="A186" s="124"/>
      <c r="B186" s="124"/>
      <c r="C186" s="124"/>
      <c r="D186" s="124"/>
      <c r="E186" s="124"/>
      <c r="F186" s="124"/>
      <c r="G186" s="124"/>
      <c r="H186" s="124"/>
      <c r="I186" s="124">
        <f t="shared" si="9"/>
        <v>0</v>
      </c>
      <c r="J186" s="124" t="str">
        <v/>
      </c>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t="s">
        <v>730</v>
      </c>
      <c r="AG186" s="124" t="s">
        <v>647</v>
      </c>
      <c r="AH186" s="124" t="s">
        <v>643</v>
      </c>
      <c r="AI186" s="127" t="s">
        <v>342</v>
      </c>
    </row>
    <row r="187" spans="1:35" x14ac:dyDescent="0.3">
      <c r="A187" s="124"/>
      <c r="B187" s="124"/>
      <c r="C187" s="124"/>
      <c r="D187" s="124"/>
      <c r="E187" s="124"/>
      <c r="F187" s="124"/>
      <c r="G187" s="124"/>
      <c r="H187" s="124"/>
      <c r="I187" s="124">
        <f t="shared" si="9"/>
        <v>0</v>
      </c>
      <c r="J187" s="124" t="str">
        <v/>
      </c>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t="s">
        <v>730</v>
      </c>
      <c r="AG187" s="124" t="s">
        <v>648</v>
      </c>
      <c r="AH187" s="124" t="s">
        <v>643</v>
      </c>
      <c r="AI187" s="127" t="s">
        <v>343</v>
      </c>
    </row>
    <row r="188" spans="1:35" x14ac:dyDescent="0.3">
      <c r="A188" s="124"/>
      <c r="B188" s="124"/>
      <c r="C188" s="124"/>
      <c r="D188" s="124"/>
      <c r="E188" s="124"/>
      <c r="F188" s="124"/>
      <c r="G188" s="124"/>
      <c r="H188" s="124"/>
      <c r="I188" s="124">
        <f t="shared" si="9"/>
        <v>0</v>
      </c>
      <c r="J188" s="124" t="str">
        <v/>
      </c>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t="s">
        <v>730</v>
      </c>
      <c r="AG188" s="124" t="s">
        <v>660</v>
      </c>
      <c r="AH188" s="124" t="s">
        <v>643</v>
      </c>
      <c r="AI188" s="127" t="s">
        <v>344</v>
      </c>
    </row>
    <row r="189" spans="1:35" x14ac:dyDescent="0.3">
      <c r="A189" s="124"/>
      <c r="B189" s="124"/>
      <c r="C189" s="124"/>
      <c r="D189" s="124"/>
      <c r="E189" s="124"/>
      <c r="F189" s="124"/>
      <c r="G189" s="124"/>
      <c r="H189" s="124"/>
      <c r="I189" s="124">
        <f t="shared" si="9"/>
        <v>0</v>
      </c>
      <c r="J189" s="124" t="str">
        <v/>
      </c>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t="s">
        <v>731</v>
      </c>
      <c r="AG189" s="124" t="s">
        <v>615</v>
      </c>
      <c r="AH189" s="124" t="s">
        <v>748</v>
      </c>
      <c r="AI189" s="127" t="s">
        <v>345</v>
      </c>
    </row>
    <row r="190" spans="1:35" x14ac:dyDescent="0.3">
      <c r="A190" s="124"/>
      <c r="B190" s="124"/>
      <c r="C190" s="124"/>
      <c r="D190" s="124"/>
      <c r="E190" s="124"/>
      <c r="F190" s="124"/>
      <c r="G190" s="124"/>
      <c r="H190" s="124"/>
      <c r="I190" s="124">
        <f t="shared" si="9"/>
        <v>0</v>
      </c>
      <c r="J190" s="124" t="str">
        <v/>
      </c>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t="s">
        <v>731</v>
      </c>
      <c r="AG190" s="124" t="s">
        <v>681</v>
      </c>
      <c r="AH190" s="124" t="s">
        <v>748</v>
      </c>
      <c r="AI190" s="127" t="s">
        <v>346</v>
      </c>
    </row>
    <row r="191" spans="1:35" x14ac:dyDescent="0.3">
      <c r="A191" s="124"/>
      <c r="B191" s="124"/>
      <c r="C191" s="124"/>
      <c r="D191" s="124"/>
      <c r="E191" s="124"/>
      <c r="F191" s="124"/>
      <c r="G191" s="124"/>
      <c r="H191" s="124"/>
      <c r="I191" s="124">
        <f t="shared" si="9"/>
        <v>0</v>
      </c>
      <c r="J191" s="124" t="str">
        <v/>
      </c>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t="s">
        <v>731</v>
      </c>
      <c r="AG191" s="124" t="s">
        <v>630</v>
      </c>
      <c r="AH191" s="124" t="s">
        <v>748</v>
      </c>
      <c r="AI191" s="127" t="s">
        <v>347</v>
      </c>
    </row>
    <row r="192" spans="1:35" x14ac:dyDescent="0.3">
      <c r="A192" s="124"/>
      <c r="B192" s="124"/>
      <c r="C192" s="124"/>
      <c r="D192" s="124"/>
      <c r="E192" s="124"/>
      <c r="F192" s="124"/>
      <c r="G192" s="124"/>
      <c r="H192" s="124"/>
      <c r="I192" s="124">
        <f t="shared" si="9"/>
        <v>0</v>
      </c>
      <c r="J192" s="124" t="str">
        <v/>
      </c>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t="s">
        <v>731</v>
      </c>
      <c r="AG192" s="124" t="s">
        <v>684</v>
      </c>
      <c r="AH192" s="124" t="s">
        <v>748</v>
      </c>
      <c r="AI192" s="127" t="s">
        <v>348</v>
      </c>
    </row>
    <row r="193" spans="1:35" x14ac:dyDescent="0.3">
      <c r="A193" s="124"/>
      <c r="B193" s="124"/>
      <c r="C193" s="124"/>
      <c r="D193" s="124"/>
      <c r="E193" s="124"/>
      <c r="F193" s="124"/>
      <c r="G193" s="124"/>
      <c r="H193" s="124"/>
      <c r="I193" s="124">
        <f t="shared" si="9"/>
        <v>0</v>
      </c>
      <c r="J193" s="124" t="str">
        <v/>
      </c>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t="s">
        <v>731</v>
      </c>
      <c r="AG193" s="124" t="s">
        <v>617</v>
      </c>
      <c r="AH193" s="124" t="s">
        <v>748</v>
      </c>
      <c r="AI193" s="127" t="s">
        <v>349</v>
      </c>
    </row>
    <row r="194" spans="1:35" x14ac:dyDescent="0.3">
      <c r="A194" s="124"/>
      <c r="B194" s="124"/>
      <c r="C194" s="124"/>
      <c r="D194" s="124"/>
      <c r="E194" s="124"/>
      <c r="F194" s="124"/>
      <c r="G194" s="124"/>
      <c r="H194" s="124"/>
      <c r="I194" s="124">
        <f t="shared" si="9"/>
        <v>0</v>
      </c>
      <c r="J194" s="124" t="str">
        <v/>
      </c>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t="s">
        <v>731</v>
      </c>
      <c r="AG194" s="124" t="s">
        <v>732</v>
      </c>
      <c r="AH194" s="124" t="s">
        <v>748</v>
      </c>
      <c r="AI194" s="127" t="s">
        <v>350</v>
      </c>
    </row>
    <row r="195" spans="1:35" x14ac:dyDescent="0.3">
      <c r="A195" s="124"/>
      <c r="B195" s="124"/>
      <c r="C195" s="124"/>
      <c r="D195" s="124"/>
      <c r="E195" s="124"/>
      <c r="F195" s="124"/>
      <c r="G195" s="124"/>
      <c r="H195" s="124"/>
      <c r="I195" s="124">
        <f t="shared" ref="I195:I258" si="10">IF(J195="",I194,I194+1)</f>
        <v>0</v>
      </c>
      <c r="J195" s="124" t="str">
        <v/>
      </c>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t="s">
        <v>731</v>
      </c>
      <c r="AG195" s="124" t="s">
        <v>686</v>
      </c>
      <c r="AH195" s="124" t="s">
        <v>748</v>
      </c>
      <c r="AI195" s="127" t="s">
        <v>351</v>
      </c>
    </row>
    <row r="196" spans="1:35" x14ac:dyDescent="0.3">
      <c r="A196" s="124"/>
      <c r="B196" s="124"/>
      <c r="C196" s="124"/>
      <c r="D196" s="124"/>
      <c r="E196" s="124"/>
      <c r="F196" s="124"/>
      <c r="G196" s="124"/>
      <c r="H196" s="124"/>
      <c r="I196" s="124">
        <f t="shared" si="10"/>
        <v>0</v>
      </c>
      <c r="J196" s="124" t="str">
        <v/>
      </c>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t="s">
        <v>731</v>
      </c>
      <c r="AG196" s="124" t="s">
        <v>656</v>
      </c>
      <c r="AH196" s="124" t="s">
        <v>748</v>
      </c>
      <c r="AI196" s="127" t="s">
        <v>352</v>
      </c>
    </row>
    <row r="197" spans="1:35" x14ac:dyDescent="0.3">
      <c r="A197" s="124"/>
      <c r="B197" s="124"/>
      <c r="C197" s="124"/>
      <c r="D197" s="124"/>
      <c r="E197" s="124"/>
      <c r="F197" s="124"/>
      <c r="G197" s="124"/>
      <c r="H197" s="124"/>
      <c r="I197" s="124">
        <f t="shared" si="10"/>
        <v>0</v>
      </c>
      <c r="J197" s="124" t="str">
        <v/>
      </c>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7" t="s">
        <v>353</v>
      </c>
    </row>
    <row r="198" spans="1:35" x14ac:dyDescent="0.3">
      <c r="A198" s="124"/>
      <c r="B198" s="124"/>
      <c r="C198" s="124"/>
      <c r="D198" s="124"/>
      <c r="E198" s="124"/>
      <c r="F198" s="124"/>
      <c r="G198" s="124"/>
      <c r="H198" s="124"/>
      <c r="I198" s="124">
        <f t="shared" si="10"/>
        <v>0</v>
      </c>
      <c r="J198" s="124" t="str">
        <v/>
      </c>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7" t="s">
        <v>354</v>
      </c>
    </row>
    <row r="199" spans="1:35" x14ac:dyDescent="0.3">
      <c r="A199" s="124"/>
      <c r="B199" s="124"/>
      <c r="C199" s="124"/>
      <c r="D199" s="124"/>
      <c r="E199" s="124"/>
      <c r="F199" s="124"/>
      <c r="G199" s="124"/>
      <c r="H199" s="124"/>
      <c r="I199" s="124">
        <f t="shared" si="10"/>
        <v>0</v>
      </c>
      <c r="J199" s="124" t="str">
        <v/>
      </c>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7" t="s">
        <v>355</v>
      </c>
    </row>
    <row r="200" spans="1:35" x14ac:dyDescent="0.3">
      <c r="A200" s="124"/>
      <c r="B200" s="124"/>
      <c r="C200" s="124"/>
      <c r="D200" s="124"/>
      <c r="E200" s="124"/>
      <c r="F200" s="124"/>
      <c r="G200" s="124"/>
      <c r="H200" s="124"/>
      <c r="I200" s="124">
        <f t="shared" si="10"/>
        <v>0</v>
      </c>
      <c r="J200" s="124" t="str">
        <v/>
      </c>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7" t="s">
        <v>356</v>
      </c>
    </row>
    <row r="201" spans="1:35" x14ac:dyDescent="0.3">
      <c r="A201" s="124"/>
      <c r="B201" s="124"/>
      <c r="C201" s="124"/>
      <c r="D201" s="124"/>
      <c r="E201" s="124"/>
      <c r="F201" s="124"/>
      <c r="G201" s="124"/>
      <c r="H201" s="124"/>
      <c r="I201" s="124">
        <f t="shared" si="10"/>
        <v>0</v>
      </c>
      <c r="J201" s="124" t="str">
        <v/>
      </c>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7" t="s">
        <v>357</v>
      </c>
    </row>
    <row r="202" spans="1:35" x14ac:dyDescent="0.3">
      <c r="A202" s="124"/>
      <c r="B202" s="124"/>
      <c r="C202" s="124"/>
      <c r="D202" s="124"/>
      <c r="E202" s="124"/>
      <c r="F202" s="124"/>
      <c r="G202" s="124"/>
      <c r="H202" s="124"/>
      <c r="I202" s="124">
        <f t="shared" si="10"/>
        <v>0</v>
      </c>
      <c r="J202" s="124" t="str" cm="1">
        <f t="array" ref="J202:J221">TRANSPOSE(L37:AE37)</f>
        <v/>
      </c>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7" t="s">
        <v>358</v>
      </c>
    </row>
    <row r="203" spans="1:35" x14ac:dyDescent="0.3">
      <c r="A203" s="124"/>
      <c r="B203" s="124"/>
      <c r="C203" s="124"/>
      <c r="D203" s="124"/>
      <c r="E203" s="124"/>
      <c r="F203" s="124"/>
      <c r="G203" s="124"/>
      <c r="H203" s="124"/>
      <c r="I203" s="124">
        <f t="shared" si="10"/>
        <v>0</v>
      </c>
      <c r="J203" s="124" t="str">
        <v/>
      </c>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7" t="s">
        <v>359</v>
      </c>
    </row>
    <row r="204" spans="1:35" x14ac:dyDescent="0.3">
      <c r="A204" s="124"/>
      <c r="B204" s="124"/>
      <c r="C204" s="124"/>
      <c r="D204" s="124"/>
      <c r="E204" s="124"/>
      <c r="F204" s="124"/>
      <c r="G204" s="124"/>
      <c r="H204" s="124"/>
      <c r="I204" s="124">
        <f t="shared" si="10"/>
        <v>0</v>
      </c>
      <c r="J204" s="124" t="str">
        <v/>
      </c>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7" t="s">
        <v>360</v>
      </c>
    </row>
    <row r="205" spans="1:35" x14ac:dyDescent="0.3">
      <c r="A205" s="124"/>
      <c r="B205" s="124"/>
      <c r="C205" s="124"/>
      <c r="D205" s="124"/>
      <c r="E205" s="124"/>
      <c r="F205" s="124"/>
      <c r="G205" s="124"/>
      <c r="H205" s="124"/>
      <c r="I205" s="124">
        <f t="shared" si="10"/>
        <v>0</v>
      </c>
      <c r="J205" s="124" t="str">
        <v/>
      </c>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7" t="s">
        <v>361</v>
      </c>
    </row>
    <row r="206" spans="1:35" x14ac:dyDescent="0.3">
      <c r="A206" s="124"/>
      <c r="B206" s="124"/>
      <c r="C206" s="124"/>
      <c r="D206" s="124"/>
      <c r="E206" s="124"/>
      <c r="F206" s="124"/>
      <c r="G206" s="124"/>
      <c r="H206" s="124"/>
      <c r="I206" s="124">
        <f t="shared" si="10"/>
        <v>0</v>
      </c>
      <c r="J206" s="124" t="str">
        <v/>
      </c>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7" t="s">
        <v>362</v>
      </c>
    </row>
    <row r="207" spans="1:35" x14ac:dyDescent="0.3">
      <c r="A207" s="124"/>
      <c r="B207" s="124"/>
      <c r="C207" s="124"/>
      <c r="D207" s="124"/>
      <c r="E207" s="124"/>
      <c r="F207" s="124"/>
      <c r="G207" s="124"/>
      <c r="H207" s="124"/>
      <c r="I207" s="124">
        <f t="shared" si="10"/>
        <v>0</v>
      </c>
      <c r="J207" s="124" t="str">
        <v/>
      </c>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7" t="s">
        <v>363</v>
      </c>
    </row>
    <row r="208" spans="1:35" x14ac:dyDescent="0.3">
      <c r="A208" s="124"/>
      <c r="B208" s="124"/>
      <c r="C208" s="124"/>
      <c r="D208" s="124"/>
      <c r="E208" s="124"/>
      <c r="F208" s="124"/>
      <c r="G208" s="124"/>
      <c r="H208" s="124"/>
      <c r="I208" s="124">
        <f t="shared" si="10"/>
        <v>0</v>
      </c>
      <c r="J208" s="124" t="str">
        <v/>
      </c>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7" t="s">
        <v>364</v>
      </c>
    </row>
    <row r="209" spans="1:35" x14ac:dyDescent="0.3">
      <c r="A209" s="124"/>
      <c r="B209" s="124"/>
      <c r="C209" s="124"/>
      <c r="D209" s="124"/>
      <c r="E209" s="124"/>
      <c r="F209" s="124"/>
      <c r="G209" s="124"/>
      <c r="H209" s="124"/>
      <c r="I209" s="124">
        <f t="shared" si="10"/>
        <v>0</v>
      </c>
      <c r="J209" s="124" t="str">
        <v/>
      </c>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7" t="s">
        <v>365</v>
      </c>
    </row>
    <row r="210" spans="1:35" x14ac:dyDescent="0.3">
      <c r="A210" s="124"/>
      <c r="B210" s="124"/>
      <c r="C210" s="124"/>
      <c r="D210" s="124"/>
      <c r="E210" s="124"/>
      <c r="F210" s="124"/>
      <c r="G210" s="124"/>
      <c r="H210" s="124"/>
      <c r="I210" s="124">
        <f t="shared" si="10"/>
        <v>0</v>
      </c>
      <c r="J210" s="124" t="str">
        <v/>
      </c>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7" t="s">
        <v>366</v>
      </c>
    </row>
    <row r="211" spans="1:35" x14ac:dyDescent="0.3">
      <c r="A211" s="124"/>
      <c r="B211" s="124"/>
      <c r="C211" s="124"/>
      <c r="D211" s="124"/>
      <c r="E211" s="124"/>
      <c r="F211" s="124"/>
      <c r="G211" s="124"/>
      <c r="H211" s="124"/>
      <c r="I211" s="124">
        <f t="shared" si="10"/>
        <v>0</v>
      </c>
      <c r="J211" s="124" t="str">
        <v/>
      </c>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7" t="s">
        <v>367</v>
      </c>
    </row>
    <row r="212" spans="1:35" x14ac:dyDescent="0.3">
      <c r="A212" s="124"/>
      <c r="B212" s="124"/>
      <c r="C212" s="124"/>
      <c r="D212" s="124"/>
      <c r="E212" s="124"/>
      <c r="F212" s="124"/>
      <c r="G212" s="124"/>
      <c r="H212" s="124"/>
      <c r="I212" s="124">
        <f t="shared" si="10"/>
        <v>0</v>
      </c>
      <c r="J212" s="124" t="str">
        <v/>
      </c>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7" t="s">
        <v>368</v>
      </c>
    </row>
    <row r="213" spans="1:35" x14ac:dyDescent="0.3">
      <c r="A213" s="124"/>
      <c r="B213" s="124"/>
      <c r="C213" s="124"/>
      <c r="D213" s="124"/>
      <c r="E213" s="124"/>
      <c r="F213" s="124"/>
      <c r="G213" s="124"/>
      <c r="H213" s="124"/>
      <c r="I213" s="124">
        <f t="shared" si="10"/>
        <v>0</v>
      </c>
      <c r="J213" s="124" t="str">
        <v/>
      </c>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7" t="s">
        <v>369</v>
      </c>
    </row>
    <row r="214" spans="1:35" x14ac:dyDescent="0.3">
      <c r="A214" s="124"/>
      <c r="B214" s="124"/>
      <c r="C214" s="124"/>
      <c r="D214" s="124"/>
      <c r="E214" s="124"/>
      <c r="F214" s="124"/>
      <c r="G214" s="124"/>
      <c r="H214" s="124"/>
      <c r="I214" s="124">
        <f t="shared" si="10"/>
        <v>0</v>
      </c>
      <c r="J214" s="124" t="str">
        <v/>
      </c>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7" t="s">
        <v>370</v>
      </c>
    </row>
    <row r="215" spans="1:35" x14ac:dyDescent="0.3">
      <c r="A215" s="124"/>
      <c r="B215" s="124"/>
      <c r="C215" s="124"/>
      <c r="D215" s="124"/>
      <c r="E215" s="124"/>
      <c r="F215" s="124"/>
      <c r="G215" s="124"/>
      <c r="H215" s="124"/>
      <c r="I215" s="124">
        <f t="shared" si="10"/>
        <v>0</v>
      </c>
      <c r="J215" s="124" t="str">
        <v/>
      </c>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7" t="s">
        <v>371</v>
      </c>
    </row>
    <row r="216" spans="1:35" x14ac:dyDescent="0.3">
      <c r="A216" s="124"/>
      <c r="B216" s="124"/>
      <c r="C216" s="124"/>
      <c r="D216" s="124"/>
      <c r="E216" s="124"/>
      <c r="F216" s="124"/>
      <c r="G216" s="124"/>
      <c r="H216" s="124"/>
      <c r="I216" s="124">
        <f t="shared" si="10"/>
        <v>0</v>
      </c>
      <c r="J216" s="124" t="str">
        <v/>
      </c>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7" t="s">
        <v>372</v>
      </c>
    </row>
    <row r="217" spans="1:35" x14ac:dyDescent="0.3">
      <c r="A217" s="124"/>
      <c r="B217" s="124"/>
      <c r="C217" s="124"/>
      <c r="D217" s="124"/>
      <c r="E217" s="124"/>
      <c r="F217" s="124"/>
      <c r="G217" s="124"/>
      <c r="H217" s="124"/>
      <c r="I217" s="124">
        <f t="shared" si="10"/>
        <v>0</v>
      </c>
      <c r="J217" s="124" t="str">
        <v/>
      </c>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7" t="s">
        <v>373</v>
      </c>
    </row>
    <row r="218" spans="1:35" x14ac:dyDescent="0.3">
      <c r="A218" s="124"/>
      <c r="B218" s="124"/>
      <c r="C218" s="124"/>
      <c r="D218" s="124"/>
      <c r="E218" s="124"/>
      <c r="F218" s="124"/>
      <c r="G218" s="124"/>
      <c r="H218" s="124"/>
      <c r="I218" s="124">
        <f t="shared" si="10"/>
        <v>0</v>
      </c>
      <c r="J218" s="124" t="str">
        <v/>
      </c>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7" t="s">
        <v>374</v>
      </c>
    </row>
    <row r="219" spans="1:35" x14ac:dyDescent="0.3">
      <c r="A219" s="124"/>
      <c r="B219" s="124"/>
      <c r="C219" s="124"/>
      <c r="D219" s="124"/>
      <c r="E219" s="124"/>
      <c r="F219" s="124"/>
      <c r="G219" s="124"/>
      <c r="H219" s="124"/>
      <c r="I219" s="124">
        <f t="shared" si="10"/>
        <v>0</v>
      </c>
      <c r="J219" s="124" t="str">
        <v/>
      </c>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7" t="s">
        <v>375</v>
      </c>
    </row>
    <row r="220" spans="1:35" x14ac:dyDescent="0.3">
      <c r="A220" s="124"/>
      <c r="B220" s="124"/>
      <c r="C220" s="124"/>
      <c r="D220" s="124"/>
      <c r="E220" s="124"/>
      <c r="F220" s="124"/>
      <c r="G220" s="124"/>
      <c r="H220" s="124"/>
      <c r="I220" s="124">
        <f t="shared" si="10"/>
        <v>0</v>
      </c>
      <c r="J220" s="124" t="str">
        <v/>
      </c>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7" t="s">
        <v>376</v>
      </c>
    </row>
    <row r="221" spans="1:35" x14ac:dyDescent="0.3">
      <c r="A221" s="124"/>
      <c r="B221" s="124"/>
      <c r="C221" s="124"/>
      <c r="D221" s="124"/>
      <c r="E221" s="124"/>
      <c r="F221" s="124"/>
      <c r="G221" s="124"/>
      <c r="H221" s="124"/>
      <c r="I221" s="124">
        <f t="shared" si="10"/>
        <v>0</v>
      </c>
      <c r="J221" s="124" t="str">
        <v/>
      </c>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7" t="s">
        <v>377</v>
      </c>
    </row>
    <row r="222" spans="1:35" x14ac:dyDescent="0.3">
      <c r="A222" s="124"/>
      <c r="B222" s="124"/>
      <c r="C222" s="124"/>
      <c r="D222" s="124"/>
      <c r="E222" s="124"/>
      <c r="F222" s="124"/>
      <c r="G222" s="124"/>
      <c r="H222" s="124"/>
      <c r="I222" s="124">
        <f t="shared" si="10"/>
        <v>0</v>
      </c>
      <c r="J222" s="124" t="str" cm="1">
        <f t="array" ref="J222:J241">TRANSPOSE(L38:AE38)</f>
        <v/>
      </c>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7" t="s">
        <v>378</v>
      </c>
    </row>
    <row r="223" spans="1:35" x14ac:dyDescent="0.3">
      <c r="A223" s="124"/>
      <c r="B223" s="124"/>
      <c r="C223" s="124"/>
      <c r="D223" s="124"/>
      <c r="E223" s="124"/>
      <c r="F223" s="124"/>
      <c r="G223" s="124"/>
      <c r="H223" s="124"/>
      <c r="I223" s="124">
        <f t="shared" si="10"/>
        <v>0</v>
      </c>
      <c r="J223" s="124" t="str">
        <v/>
      </c>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7" t="s">
        <v>379</v>
      </c>
    </row>
    <row r="224" spans="1:35" x14ac:dyDescent="0.3">
      <c r="A224" s="124"/>
      <c r="B224" s="124"/>
      <c r="C224" s="124"/>
      <c r="D224" s="124"/>
      <c r="E224" s="124"/>
      <c r="F224" s="124"/>
      <c r="G224" s="124"/>
      <c r="H224" s="124"/>
      <c r="I224" s="124">
        <f t="shared" si="10"/>
        <v>0</v>
      </c>
      <c r="J224" s="124" t="str">
        <v/>
      </c>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7" t="s">
        <v>380</v>
      </c>
    </row>
    <row r="225" spans="1:35" x14ac:dyDescent="0.3">
      <c r="A225" s="124"/>
      <c r="B225" s="124"/>
      <c r="C225" s="124"/>
      <c r="D225" s="124"/>
      <c r="E225" s="124"/>
      <c r="F225" s="124"/>
      <c r="G225" s="124"/>
      <c r="H225" s="124"/>
      <c r="I225" s="124">
        <f t="shared" si="10"/>
        <v>0</v>
      </c>
      <c r="J225" s="124" t="str">
        <v/>
      </c>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7" t="s">
        <v>381</v>
      </c>
    </row>
    <row r="226" spans="1:35" x14ac:dyDescent="0.3">
      <c r="A226" s="124"/>
      <c r="B226" s="124"/>
      <c r="C226" s="124"/>
      <c r="D226" s="124"/>
      <c r="E226" s="124"/>
      <c r="F226" s="124"/>
      <c r="G226" s="124"/>
      <c r="H226" s="124"/>
      <c r="I226" s="124">
        <f t="shared" si="10"/>
        <v>0</v>
      </c>
      <c r="J226" s="124" t="str">
        <v/>
      </c>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7" t="s">
        <v>382</v>
      </c>
    </row>
    <row r="227" spans="1:35" x14ac:dyDescent="0.3">
      <c r="A227" s="124"/>
      <c r="B227" s="124"/>
      <c r="C227" s="124"/>
      <c r="D227" s="124"/>
      <c r="E227" s="124"/>
      <c r="F227" s="124"/>
      <c r="G227" s="124"/>
      <c r="H227" s="124"/>
      <c r="I227" s="124">
        <f t="shared" si="10"/>
        <v>0</v>
      </c>
      <c r="J227" s="124" t="str">
        <v/>
      </c>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7" t="s">
        <v>383</v>
      </c>
    </row>
    <row r="228" spans="1:35" x14ac:dyDescent="0.3">
      <c r="A228" s="124"/>
      <c r="B228" s="124"/>
      <c r="C228" s="124"/>
      <c r="D228" s="124"/>
      <c r="E228" s="124"/>
      <c r="F228" s="124"/>
      <c r="G228" s="124"/>
      <c r="H228" s="124"/>
      <c r="I228" s="124">
        <f t="shared" si="10"/>
        <v>0</v>
      </c>
      <c r="J228" s="124" t="str">
        <v/>
      </c>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7" t="s">
        <v>384</v>
      </c>
    </row>
    <row r="229" spans="1:35" x14ac:dyDescent="0.3">
      <c r="A229" s="124"/>
      <c r="B229" s="124"/>
      <c r="C229" s="124"/>
      <c r="D229" s="124"/>
      <c r="E229" s="124"/>
      <c r="F229" s="124"/>
      <c r="G229" s="124"/>
      <c r="H229" s="124"/>
      <c r="I229" s="124">
        <f t="shared" si="10"/>
        <v>0</v>
      </c>
      <c r="J229" s="124" t="str">
        <v/>
      </c>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7" t="s">
        <v>385</v>
      </c>
    </row>
    <row r="230" spans="1:35" x14ac:dyDescent="0.3">
      <c r="A230" s="124"/>
      <c r="B230" s="124"/>
      <c r="C230" s="124"/>
      <c r="D230" s="124"/>
      <c r="E230" s="124"/>
      <c r="F230" s="124"/>
      <c r="G230" s="124"/>
      <c r="H230" s="124"/>
      <c r="I230" s="124">
        <f t="shared" si="10"/>
        <v>0</v>
      </c>
      <c r="J230" s="124" t="str">
        <v/>
      </c>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7" t="s">
        <v>386</v>
      </c>
    </row>
    <row r="231" spans="1:35" x14ac:dyDescent="0.3">
      <c r="A231" s="124"/>
      <c r="B231" s="124"/>
      <c r="C231" s="124"/>
      <c r="D231" s="124"/>
      <c r="E231" s="124"/>
      <c r="F231" s="124"/>
      <c r="G231" s="124"/>
      <c r="H231" s="124"/>
      <c r="I231" s="124">
        <f t="shared" si="10"/>
        <v>0</v>
      </c>
      <c r="J231" s="124" t="str">
        <v/>
      </c>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7" t="s">
        <v>387</v>
      </c>
    </row>
    <row r="232" spans="1:35" x14ac:dyDescent="0.3">
      <c r="A232" s="124"/>
      <c r="B232" s="124"/>
      <c r="C232" s="124"/>
      <c r="D232" s="124"/>
      <c r="E232" s="124"/>
      <c r="F232" s="124"/>
      <c r="G232" s="124"/>
      <c r="H232" s="124"/>
      <c r="I232" s="124">
        <f t="shared" si="10"/>
        <v>0</v>
      </c>
      <c r="J232" s="124" t="str">
        <v/>
      </c>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7" t="s">
        <v>388</v>
      </c>
    </row>
    <row r="233" spans="1:35" x14ac:dyDescent="0.3">
      <c r="A233" s="124"/>
      <c r="B233" s="124"/>
      <c r="C233" s="124"/>
      <c r="D233" s="124"/>
      <c r="E233" s="124"/>
      <c r="F233" s="124"/>
      <c r="G233" s="124"/>
      <c r="H233" s="124"/>
      <c r="I233" s="124">
        <f t="shared" si="10"/>
        <v>0</v>
      </c>
      <c r="J233" s="124" t="str">
        <v/>
      </c>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7" t="s">
        <v>389</v>
      </c>
    </row>
    <row r="234" spans="1:35" x14ac:dyDescent="0.3">
      <c r="A234" s="124"/>
      <c r="B234" s="124"/>
      <c r="C234" s="124"/>
      <c r="D234" s="124"/>
      <c r="E234" s="124"/>
      <c r="F234" s="124"/>
      <c r="G234" s="124"/>
      <c r="H234" s="124"/>
      <c r="I234" s="124">
        <f t="shared" si="10"/>
        <v>0</v>
      </c>
      <c r="J234" s="124" t="str">
        <v/>
      </c>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7" t="s">
        <v>390</v>
      </c>
    </row>
    <row r="235" spans="1:35" x14ac:dyDescent="0.3">
      <c r="A235" s="124"/>
      <c r="B235" s="124"/>
      <c r="C235" s="124"/>
      <c r="D235" s="124"/>
      <c r="E235" s="124"/>
      <c r="F235" s="124"/>
      <c r="G235" s="124"/>
      <c r="H235" s="124"/>
      <c r="I235" s="124">
        <f t="shared" si="10"/>
        <v>0</v>
      </c>
      <c r="J235" s="124" t="str">
        <v/>
      </c>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7" t="s">
        <v>391</v>
      </c>
    </row>
    <row r="236" spans="1:35" x14ac:dyDescent="0.3">
      <c r="A236" s="124"/>
      <c r="B236" s="124"/>
      <c r="C236" s="124"/>
      <c r="D236" s="124"/>
      <c r="E236" s="124"/>
      <c r="F236" s="124"/>
      <c r="G236" s="124"/>
      <c r="H236" s="124"/>
      <c r="I236" s="124">
        <f t="shared" si="10"/>
        <v>0</v>
      </c>
      <c r="J236" s="124" t="str">
        <v/>
      </c>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7" t="s">
        <v>392</v>
      </c>
    </row>
    <row r="237" spans="1:35" x14ac:dyDescent="0.3">
      <c r="A237" s="124"/>
      <c r="B237" s="124"/>
      <c r="C237" s="124"/>
      <c r="D237" s="124"/>
      <c r="E237" s="124"/>
      <c r="F237" s="124"/>
      <c r="G237" s="124"/>
      <c r="H237" s="124"/>
      <c r="I237" s="124">
        <f t="shared" si="10"/>
        <v>0</v>
      </c>
      <c r="J237" s="124" t="str">
        <v/>
      </c>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7" t="s">
        <v>393</v>
      </c>
    </row>
    <row r="238" spans="1:35" x14ac:dyDescent="0.3">
      <c r="A238" s="124"/>
      <c r="B238" s="124"/>
      <c r="C238" s="124"/>
      <c r="D238" s="124"/>
      <c r="E238" s="124"/>
      <c r="F238" s="124"/>
      <c r="G238" s="124"/>
      <c r="H238" s="124"/>
      <c r="I238" s="124">
        <f t="shared" si="10"/>
        <v>0</v>
      </c>
      <c r="J238" s="124" t="str">
        <v/>
      </c>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7" t="s">
        <v>394</v>
      </c>
    </row>
    <row r="239" spans="1:35" x14ac:dyDescent="0.3">
      <c r="A239" s="124"/>
      <c r="B239" s="124"/>
      <c r="C239" s="124"/>
      <c r="D239" s="124"/>
      <c r="E239" s="124"/>
      <c r="F239" s="124"/>
      <c r="G239" s="124"/>
      <c r="H239" s="124"/>
      <c r="I239" s="124">
        <f t="shared" si="10"/>
        <v>0</v>
      </c>
      <c r="J239" s="124" t="str">
        <v/>
      </c>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7" t="s">
        <v>395</v>
      </c>
    </row>
    <row r="240" spans="1:35" x14ac:dyDescent="0.3">
      <c r="A240" s="124"/>
      <c r="B240" s="124"/>
      <c r="C240" s="124"/>
      <c r="D240" s="124"/>
      <c r="E240" s="124"/>
      <c r="F240" s="124"/>
      <c r="G240" s="124"/>
      <c r="H240" s="124"/>
      <c r="I240" s="124">
        <f t="shared" si="10"/>
        <v>0</v>
      </c>
      <c r="J240" s="124" t="str">
        <v/>
      </c>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7" t="s">
        <v>396</v>
      </c>
    </row>
    <row r="241" spans="1:35" x14ac:dyDescent="0.3">
      <c r="A241" s="124"/>
      <c r="B241" s="124"/>
      <c r="C241" s="124"/>
      <c r="D241" s="124"/>
      <c r="E241" s="124"/>
      <c r="F241" s="124"/>
      <c r="G241" s="124"/>
      <c r="H241" s="124"/>
      <c r="I241" s="124">
        <f t="shared" si="10"/>
        <v>0</v>
      </c>
      <c r="J241" s="124" t="str">
        <v/>
      </c>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7" t="s">
        <v>397</v>
      </c>
    </row>
    <row r="242" spans="1:35" x14ac:dyDescent="0.3">
      <c r="A242" s="124"/>
      <c r="B242" s="124"/>
      <c r="C242" s="124"/>
      <c r="D242" s="124"/>
      <c r="E242" s="124"/>
      <c r="F242" s="124"/>
      <c r="G242" s="124"/>
      <c r="H242" s="124"/>
      <c r="I242" s="124">
        <f t="shared" si="10"/>
        <v>0</v>
      </c>
      <c r="J242" s="124" t="str" cm="1">
        <f t="array" ref="J242:J261">TRANSPOSE(L39:AE39)</f>
        <v/>
      </c>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7" t="s">
        <v>398</v>
      </c>
    </row>
    <row r="243" spans="1:35" x14ac:dyDescent="0.3">
      <c r="A243" s="124"/>
      <c r="B243" s="124"/>
      <c r="C243" s="124"/>
      <c r="D243" s="124"/>
      <c r="E243" s="124"/>
      <c r="F243" s="124"/>
      <c r="G243" s="124"/>
      <c r="H243" s="124"/>
      <c r="I243" s="124">
        <f t="shared" si="10"/>
        <v>0</v>
      </c>
      <c r="J243" s="124" t="str">
        <v/>
      </c>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7" t="s">
        <v>399</v>
      </c>
    </row>
    <row r="244" spans="1:35" x14ac:dyDescent="0.3">
      <c r="A244" s="124"/>
      <c r="B244" s="124"/>
      <c r="C244" s="124"/>
      <c r="D244" s="124"/>
      <c r="E244" s="124"/>
      <c r="F244" s="124"/>
      <c r="G244" s="124"/>
      <c r="H244" s="124"/>
      <c r="I244" s="124">
        <f t="shared" si="10"/>
        <v>0</v>
      </c>
      <c r="J244" s="124" t="str">
        <v/>
      </c>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7" t="s">
        <v>400</v>
      </c>
    </row>
    <row r="245" spans="1:35" x14ac:dyDescent="0.3">
      <c r="A245" s="124"/>
      <c r="B245" s="124"/>
      <c r="C245" s="124"/>
      <c r="D245" s="124"/>
      <c r="E245" s="124"/>
      <c r="F245" s="124"/>
      <c r="G245" s="124"/>
      <c r="H245" s="124"/>
      <c r="I245" s="124">
        <f t="shared" si="10"/>
        <v>0</v>
      </c>
      <c r="J245" s="124" t="str">
        <v/>
      </c>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7" t="s">
        <v>401</v>
      </c>
    </row>
    <row r="246" spans="1:35" x14ac:dyDescent="0.3">
      <c r="A246" s="124"/>
      <c r="B246" s="124"/>
      <c r="C246" s="124"/>
      <c r="D246" s="124"/>
      <c r="E246" s="124"/>
      <c r="F246" s="124"/>
      <c r="G246" s="124"/>
      <c r="H246" s="124"/>
      <c r="I246" s="124">
        <f t="shared" si="10"/>
        <v>0</v>
      </c>
      <c r="J246" s="124" t="str">
        <v/>
      </c>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7" t="s">
        <v>402</v>
      </c>
    </row>
    <row r="247" spans="1:35" x14ac:dyDescent="0.3">
      <c r="A247" s="124"/>
      <c r="B247" s="124"/>
      <c r="C247" s="124"/>
      <c r="D247" s="124"/>
      <c r="E247" s="124"/>
      <c r="F247" s="124"/>
      <c r="G247" s="124"/>
      <c r="H247" s="124"/>
      <c r="I247" s="124">
        <f t="shared" si="10"/>
        <v>0</v>
      </c>
      <c r="J247" s="124" t="str">
        <v/>
      </c>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7" t="s">
        <v>403</v>
      </c>
    </row>
    <row r="248" spans="1:35" x14ac:dyDescent="0.3">
      <c r="A248" s="124"/>
      <c r="B248" s="124"/>
      <c r="C248" s="124"/>
      <c r="D248" s="124"/>
      <c r="E248" s="124"/>
      <c r="F248" s="124"/>
      <c r="G248" s="124"/>
      <c r="H248" s="124"/>
      <c r="I248" s="124">
        <f t="shared" si="10"/>
        <v>0</v>
      </c>
      <c r="J248" s="124" t="str">
        <v/>
      </c>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7" t="s">
        <v>404</v>
      </c>
    </row>
    <row r="249" spans="1:35" x14ac:dyDescent="0.3">
      <c r="A249" s="124"/>
      <c r="B249" s="124"/>
      <c r="C249" s="124"/>
      <c r="D249" s="124"/>
      <c r="E249" s="124"/>
      <c r="F249" s="124"/>
      <c r="G249" s="124"/>
      <c r="H249" s="124"/>
      <c r="I249" s="124">
        <f t="shared" si="10"/>
        <v>0</v>
      </c>
      <c r="J249" s="124" t="str">
        <v/>
      </c>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7" t="s">
        <v>405</v>
      </c>
    </row>
    <row r="250" spans="1:35" x14ac:dyDescent="0.3">
      <c r="A250" s="124"/>
      <c r="B250" s="124"/>
      <c r="C250" s="124"/>
      <c r="D250" s="124"/>
      <c r="E250" s="124"/>
      <c r="F250" s="124"/>
      <c r="G250" s="124"/>
      <c r="H250" s="124"/>
      <c r="I250" s="124">
        <f t="shared" si="10"/>
        <v>0</v>
      </c>
      <c r="J250" s="124" t="str">
        <v/>
      </c>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7" t="s">
        <v>406</v>
      </c>
    </row>
    <row r="251" spans="1:35" x14ac:dyDescent="0.3">
      <c r="A251" s="124"/>
      <c r="B251" s="124"/>
      <c r="C251" s="124"/>
      <c r="D251" s="124"/>
      <c r="E251" s="124"/>
      <c r="F251" s="124"/>
      <c r="G251" s="124"/>
      <c r="H251" s="124"/>
      <c r="I251" s="124">
        <f t="shared" si="10"/>
        <v>0</v>
      </c>
      <c r="J251" s="124" t="str">
        <v/>
      </c>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7" t="s">
        <v>407</v>
      </c>
    </row>
    <row r="252" spans="1:35" x14ac:dyDescent="0.3">
      <c r="A252" s="124"/>
      <c r="B252" s="124"/>
      <c r="C252" s="124"/>
      <c r="D252" s="124"/>
      <c r="E252" s="124"/>
      <c r="F252" s="124"/>
      <c r="G252" s="124"/>
      <c r="H252" s="124"/>
      <c r="I252" s="124">
        <f t="shared" si="10"/>
        <v>0</v>
      </c>
      <c r="J252" s="124" t="str">
        <v/>
      </c>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7" t="s">
        <v>408</v>
      </c>
    </row>
    <row r="253" spans="1:35" x14ac:dyDescent="0.3">
      <c r="A253" s="124"/>
      <c r="B253" s="124"/>
      <c r="C253" s="124"/>
      <c r="D253" s="124"/>
      <c r="E253" s="124"/>
      <c r="F253" s="124"/>
      <c r="G253" s="124"/>
      <c r="H253" s="124"/>
      <c r="I253" s="124">
        <f t="shared" si="10"/>
        <v>0</v>
      </c>
      <c r="J253" s="124" t="str">
        <v/>
      </c>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7" t="s">
        <v>409</v>
      </c>
    </row>
    <row r="254" spans="1:35" x14ac:dyDescent="0.3">
      <c r="A254" s="124"/>
      <c r="B254" s="124"/>
      <c r="C254" s="124"/>
      <c r="D254" s="124"/>
      <c r="E254" s="124"/>
      <c r="F254" s="124"/>
      <c r="G254" s="124"/>
      <c r="H254" s="124"/>
      <c r="I254" s="124">
        <f t="shared" si="10"/>
        <v>0</v>
      </c>
      <c r="J254" s="124" t="str">
        <v/>
      </c>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7" t="s">
        <v>410</v>
      </c>
    </row>
    <row r="255" spans="1:35" x14ac:dyDescent="0.3">
      <c r="A255" s="124"/>
      <c r="B255" s="124"/>
      <c r="C255" s="124"/>
      <c r="D255" s="124"/>
      <c r="E255" s="124"/>
      <c r="F255" s="124"/>
      <c r="G255" s="124"/>
      <c r="H255" s="124"/>
      <c r="I255" s="124">
        <f t="shared" si="10"/>
        <v>0</v>
      </c>
      <c r="J255" s="124" t="str">
        <v/>
      </c>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7" t="s">
        <v>411</v>
      </c>
    </row>
    <row r="256" spans="1:35" x14ac:dyDescent="0.3">
      <c r="A256" s="124"/>
      <c r="B256" s="124"/>
      <c r="C256" s="124"/>
      <c r="D256" s="124"/>
      <c r="E256" s="124"/>
      <c r="F256" s="124"/>
      <c r="G256" s="124"/>
      <c r="H256" s="124"/>
      <c r="I256" s="124">
        <f t="shared" si="10"/>
        <v>0</v>
      </c>
      <c r="J256" s="124" t="str">
        <v/>
      </c>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7" t="s">
        <v>412</v>
      </c>
    </row>
    <row r="257" spans="1:35" x14ac:dyDescent="0.3">
      <c r="A257" s="124"/>
      <c r="B257" s="124"/>
      <c r="C257" s="124"/>
      <c r="D257" s="124"/>
      <c r="E257" s="124"/>
      <c r="F257" s="124"/>
      <c r="G257" s="124"/>
      <c r="H257" s="124"/>
      <c r="I257" s="124">
        <f t="shared" si="10"/>
        <v>0</v>
      </c>
      <c r="J257" s="124" t="str">
        <v/>
      </c>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7" t="s">
        <v>413</v>
      </c>
    </row>
    <row r="258" spans="1:35" x14ac:dyDescent="0.3">
      <c r="A258" s="124"/>
      <c r="B258" s="124"/>
      <c r="C258" s="124"/>
      <c r="D258" s="124"/>
      <c r="E258" s="124"/>
      <c r="F258" s="124"/>
      <c r="G258" s="124"/>
      <c r="H258" s="124"/>
      <c r="I258" s="124">
        <f t="shared" si="10"/>
        <v>0</v>
      </c>
      <c r="J258" s="124" t="str">
        <v/>
      </c>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7" t="s">
        <v>414</v>
      </c>
    </row>
    <row r="259" spans="1:35" x14ac:dyDescent="0.3">
      <c r="A259" s="124"/>
      <c r="B259" s="124"/>
      <c r="C259" s="124"/>
      <c r="D259" s="124"/>
      <c r="E259" s="124"/>
      <c r="F259" s="124"/>
      <c r="G259" s="124"/>
      <c r="H259" s="124"/>
      <c r="I259" s="124">
        <f t="shared" ref="I259:I322" si="11">IF(J259="",I258,I258+1)</f>
        <v>0</v>
      </c>
      <c r="J259" s="124" t="str">
        <v/>
      </c>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7" t="s">
        <v>415</v>
      </c>
    </row>
    <row r="260" spans="1:35" x14ac:dyDescent="0.3">
      <c r="A260" s="124"/>
      <c r="B260" s="124"/>
      <c r="C260" s="124"/>
      <c r="D260" s="124"/>
      <c r="E260" s="124"/>
      <c r="F260" s="124"/>
      <c r="G260" s="124"/>
      <c r="H260" s="124"/>
      <c r="I260" s="124">
        <f t="shared" si="11"/>
        <v>0</v>
      </c>
      <c r="J260" s="124" t="str">
        <v/>
      </c>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7" t="s">
        <v>416</v>
      </c>
    </row>
    <row r="261" spans="1:35" x14ac:dyDescent="0.3">
      <c r="B261" s="124"/>
      <c r="F261" s="124"/>
      <c r="G261" s="124"/>
      <c r="H261" s="124"/>
      <c r="I261" s="124">
        <f t="shared" si="11"/>
        <v>0</v>
      </c>
      <c r="J261" s="124" t="str">
        <v/>
      </c>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row>
    <row r="262" spans="1:35" x14ac:dyDescent="0.3">
      <c r="I262" s="124">
        <f t="shared" si="11"/>
        <v>0</v>
      </c>
      <c r="J262" s="124" t="str" cm="1">
        <f t="array" ref="J262:J281">TRANSPOSE(L40:AE40)</f>
        <v/>
      </c>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row>
    <row r="263" spans="1:35" x14ac:dyDescent="0.3">
      <c r="I263" s="124">
        <f t="shared" si="11"/>
        <v>0</v>
      </c>
      <c r="J263" s="124" t="str">
        <v/>
      </c>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row>
    <row r="264" spans="1:35" x14ac:dyDescent="0.3">
      <c r="I264" s="124">
        <f t="shared" si="11"/>
        <v>0</v>
      </c>
      <c r="J264" s="124" t="str">
        <v/>
      </c>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row>
    <row r="265" spans="1:35" x14ac:dyDescent="0.3">
      <c r="I265" s="124">
        <f t="shared" si="11"/>
        <v>0</v>
      </c>
      <c r="J265" s="124" t="str">
        <v/>
      </c>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row>
    <row r="266" spans="1:35" x14ac:dyDescent="0.3">
      <c r="I266" s="124">
        <f t="shared" si="11"/>
        <v>0</v>
      </c>
      <c r="J266" s="124" t="str">
        <v/>
      </c>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row>
    <row r="267" spans="1:35" x14ac:dyDescent="0.3">
      <c r="I267" s="124">
        <f t="shared" si="11"/>
        <v>0</v>
      </c>
      <c r="J267" s="124" t="str">
        <v/>
      </c>
    </row>
    <row r="268" spans="1:35" x14ac:dyDescent="0.3">
      <c r="I268" s="124">
        <f t="shared" si="11"/>
        <v>0</v>
      </c>
      <c r="J268" s="124" t="str">
        <v/>
      </c>
    </row>
    <row r="269" spans="1:35" x14ac:dyDescent="0.3">
      <c r="I269" s="124">
        <f t="shared" si="11"/>
        <v>0</v>
      </c>
      <c r="J269" s="124" t="str">
        <v/>
      </c>
    </row>
    <row r="270" spans="1:35" x14ac:dyDescent="0.3">
      <c r="I270" s="124">
        <f t="shared" si="11"/>
        <v>0</v>
      </c>
      <c r="J270" s="124" t="str">
        <v/>
      </c>
    </row>
    <row r="271" spans="1:35" x14ac:dyDescent="0.3">
      <c r="I271" s="124">
        <f t="shared" si="11"/>
        <v>0</v>
      </c>
      <c r="J271" s="124" t="str">
        <v/>
      </c>
    </row>
    <row r="272" spans="1:35" x14ac:dyDescent="0.3">
      <c r="I272" s="124">
        <f t="shared" si="11"/>
        <v>0</v>
      </c>
      <c r="J272" s="124" t="str">
        <v/>
      </c>
    </row>
    <row r="273" spans="9:10" x14ac:dyDescent="0.3">
      <c r="I273" s="124">
        <f t="shared" si="11"/>
        <v>0</v>
      </c>
      <c r="J273" s="124" t="str">
        <v/>
      </c>
    </row>
    <row r="274" spans="9:10" x14ac:dyDescent="0.3">
      <c r="I274" s="124">
        <f t="shared" si="11"/>
        <v>0</v>
      </c>
      <c r="J274" s="124" t="str">
        <v/>
      </c>
    </row>
    <row r="275" spans="9:10" x14ac:dyDescent="0.3">
      <c r="I275" s="124">
        <f t="shared" si="11"/>
        <v>0</v>
      </c>
      <c r="J275" s="124" t="str">
        <v/>
      </c>
    </row>
    <row r="276" spans="9:10" x14ac:dyDescent="0.3">
      <c r="I276" s="124">
        <f t="shared" si="11"/>
        <v>0</v>
      </c>
      <c r="J276" s="124" t="str">
        <v/>
      </c>
    </row>
    <row r="277" spans="9:10" x14ac:dyDescent="0.3">
      <c r="I277" s="124">
        <f t="shared" si="11"/>
        <v>0</v>
      </c>
      <c r="J277" s="124" t="str">
        <v/>
      </c>
    </row>
    <row r="278" spans="9:10" x14ac:dyDescent="0.3">
      <c r="I278" s="124">
        <f t="shared" si="11"/>
        <v>0</v>
      </c>
      <c r="J278" s="124" t="str">
        <v/>
      </c>
    </row>
    <row r="279" spans="9:10" x14ac:dyDescent="0.3">
      <c r="I279" s="124">
        <f t="shared" si="11"/>
        <v>0</v>
      </c>
      <c r="J279" s="124" t="str">
        <v/>
      </c>
    </row>
    <row r="280" spans="9:10" x14ac:dyDescent="0.3">
      <c r="I280" s="124">
        <f t="shared" si="11"/>
        <v>0</v>
      </c>
      <c r="J280" s="124" t="str">
        <v/>
      </c>
    </row>
    <row r="281" spans="9:10" x14ac:dyDescent="0.3">
      <c r="I281" s="124">
        <f t="shared" si="11"/>
        <v>0</v>
      </c>
      <c r="J281" s="124" t="str">
        <v/>
      </c>
    </row>
    <row r="282" spans="9:10" x14ac:dyDescent="0.3">
      <c r="I282" s="124">
        <f t="shared" si="11"/>
        <v>0</v>
      </c>
      <c r="J282" s="124" t="str" cm="1">
        <f t="array" ref="J282:J301">TRANSPOSE(L41:AE41)</f>
        <v/>
      </c>
    </row>
    <row r="283" spans="9:10" x14ac:dyDescent="0.3">
      <c r="I283" s="124">
        <f t="shared" si="11"/>
        <v>0</v>
      </c>
      <c r="J283" s="124" t="str">
        <v/>
      </c>
    </row>
    <row r="284" spans="9:10" x14ac:dyDescent="0.3">
      <c r="I284" s="124">
        <f t="shared" si="11"/>
        <v>0</v>
      </c>
      <c r="J284" s="124" t="str">
        <v/>
      </c>
    </row>
    <row r="285" spans="9:10" x14ac:dyDescent="0.3">
      <c r="I285" s="124">
        <f t="shared" si="11"/>
        <v>0</v>
      </c>
      <c r="J285" s="124" t="str">
        <v/>
      </c>
    </row>
    <row r="286" spans="9:10" x14ac:dyDescent="0.3">
      <c r="I286" s="124">
        <f t="shared" si="11"/>
        <v>0</v>
      </c>
      <c r="J286" s="124" t="str">
        <v/>
      </c>
    </row>
    <row r="287" spans="9:10" x14ac:dyDescent="0.3">
      <c r="I287" s="124">
        <f t="shared" si="11"/>
        <v>0</v>
      </c>
      <c r="J287" s="124" t="str">
        <v/>
      </c>
    </row>
    <row r="288" spans="9:10" x14ac:dyDescent="0.3">
      <c r="I288" s="124">
        <f t="shared" si="11"/>
        <v>0</v>
      </c>
      <c r="J288" s="124" t="str">
        <v/>
      </c>
    </row>
    <row r="289" spans="9:10" x14ac:dyDescent="0.3">
      <c r="I289" s="124">
        <f t="shared" si="11"/>
        <v>0</v>
      </c>
      <c r="J289" s="124" t="str">
        <v/>
      </c>
    </row>
    <row r="290" spans="9:10" x14ac:dyDescent="0.3">
      <c r="I290" s="124">
        <f t="shared" si="11"/>
        <v>0</v>
      </c>
      <c r="J290" s="124" t="str">
        <v/>
      </c>
    </row>
    <row r="291" spans="9:10" x14ac:dyDescent="0.3">
      <c r="I291" s="124">
        <f t="shared" si="11"/>
        <v>0</v>
      </c>
      <c r="J291" s="124" t="str">
        <v/>
      </c>
    </row>
    <row r="292" spans="9:10" x14ac:dyDescent="0.3">
      <c r="I292" s="124">
        <f t="shared" si="11"/>
        <v>0</v>
      </c>
      <c r="J292" s="124" t="str">
        <v/>
      </c>
    </row>
    <row r="293" spans="9:10" x14ac:dyDescent="0.3">
      <c r="I293" s="124">
        <f t="shared" si="11"/>
        <v>0</v>
      </c>
      <c r="J293" s="124" t="str">
        <v/>
      </c>
    </row>
    <row r="294" spans="9:10" x14ac:dyDescent="0.3">
      <c r="I294" s="124">
        <f t="shared" si="11"/>
        <v>0</v>
      </c>
      <c r="J294" s="124" t="str">
        <v/>
      </c>
    </row>
    <row r="295" spans="9:10" x14ac:dyDescent="0.3">
      <c r="I295" s="124">
        <f t="shared" si="11"/>
        <v>0</v>
      </c>
      <c r="J295" s="124" t="str">
        <v/>
      </c>
    </row>
    <row r="296" spans="9:10" x14ac:dyDescent="0.3">
      <c r="I296" s="124">
        <f t="shared" si="11"/>
        <v>0</v>
      </c>
      <c r="J296" s="124" t="str">
        <v/>
      </c>
    </row>
    <row r="297" spans="9:10" x14ac:dyDescent="0.3">
      <c r="I297" s="124">
        <f t="shared" si="11"/>
        <v>0</v>
      </c>
      <c r="J297" s="124" t="str">
        <v/>
      </c>
    </row>
    <row r="298" spans="9:10" x14ac:dyDescent="0.3">
      <c r="I298" s="124">
        <f t="shared" si="11"/>
        <v>0</v>
      </c>
      <c r="J298" s="124" t="str">
        <v/>
      </c>
    </row>
    <row r="299" spans="9:10" x14ac:dyDescent="0.3">
      <c r="I299" s="124">
        <f t="shared" si="11"/>
        <v>0</v>
      </c>
      <c r="J299" s="124" t="str">
        <v/>
      </c>
    </row>
    <row r="300" spans="9:10" x14ac:dyDescent="0.3">
      <c r="I300" s="124">
        <f t="shared" si="11"/>
        <v>0</v>
      </c>
      <c r="J300" s="124" t="str">
        <v/>
      </c>
    </row>
    <row r="301" spans="9:10" x14ac:dyDescent="0.3">
      <c r="I301" s="124">
        <f t="shared" si="11"/>
        <v>0</v>
      </c>
      <c r="J301" s="124" t="str">
        <v/>
      </c>
    </row>
    <row r="302" spans="9:10" x14ac:dyDescent="0.3">
      <c r="I302" s="124">
        <f t="shared" si="11"/>
        <v>0</v>
      </c>
      <c r="J302" s="124" t="str" cm="1">
        <f t="array" ref="J302:J321">TRANSPOSE(L42:AE42)</f>
        <v/>
      </c>
    </row>
    <row r="303" spans="9:10" x14ac:dyDescent="0.3">
      <c r="I303" s="124">
        <f t="shared" si="11"/>
        <v>0</v>
      </c>
      <c r="J303" s="124" t="str">
        <v/>
      </c>
    </row>
    <row r="304" spans="9:10" x14ac:dyDescent="0.3">
      <c r="I304" s="124">
        <f t="shared" si="11"/>
        <v>0</v>
      </c>
      <c r="J304" s="124" t="str">
        <v/>
      </c>
    </row>
    <row r="305" spans="9:10" x14ac:dyDescent="0.3">
      <c r="I305" s="124">
        <f t="shared" si="11"/>
        <v>0</v>
      </c>
      <c r="J305" s="124" t="str">
        <v/>
      </c>
    </row>
    <row r="306" spans="9:10" x14ac:dyDescent="0.3">
      <c r="I306" s="124">
        <f t="shared" si="11"/>
        <v>0</v>
      </c>
      <c r="J306" s="124" t="str">
        <v/>
      </c>
    </row>
    <row r="307" spans="9:10" x14ac:dyDescent="0.3">
      <c r="I307" s="124">
        <f t="shared" si="11"/>
        <v>0</v>
      </c>
      <c r="J307" s="124" t="str">
        <v/>
      </c>
    </row>
    <row r="308" spans="9:10" x14ac:dyDescent="0.3">
      <c r="I308" s="124">
        <f t="shared" si="11"/>
        <v>0</v>
      </c>
      <c r="J308" s="124" t="str">
        <v/>
      </c>
    </row>
    <row r="309" spans="9:10" x14ac:dyDescent="0.3">
      <c r="I309" s="124">
        <f t="shared" si="11"/>
        <v>0</v>
      </c>
      <c r="J309" s="124" t="str">
        <v/>
      </c>
    </row>
    <row r="310" spans="9:10" x14ac:dyDescent="0.3">
      <c r="I310" s="124">
        <f t="shared" si="11"/>
        <v>0</v>
      </c>
      <c r="J310" s="124" t="str">
        <v/>
      </c>
    </row>
    <row r="311" spans="9:10" x14ac:dyDescent="0.3">
      <c r="I311" s="124">
        <f t="shared" si="11"/>
        <v>0</v>
      </c>
      <c r="J311" s="124" t="str">
        <v/>
      </c>
    </row>
    <row r="312" spans="9:10" x14ac:dyDescent="0.3">
      <c r="I312" s="124">
        <f t="shared" si="11"/>
        <v>0</v>
      </c>
      <c r="J312" s="124" t="str">
        <v/>
      </c>
    </row>
    <row r="313" spans="9:10" x14ac:dyDescent="0.3">
      <c r="I313" s="124">
        <f t="shared" si="11"/>
        <v>0</v>
      </c>
      <c r="J313" s="124" t="str">
        <v/>
      </c>
    </row>
    <row r="314" spans="9:10" x14ac:dyDescent="0.3">
      <c r="I314" s="124">
        <f t="shared" si="11"/>
        <v>0</v>
      </c>
      <c r="J314" s="124" t="str">
        <v/>
      </c>
    </row>
    <row r="315" spans="9:10" x14ac:dyDescent="0.3">
      <c r="I315" s="124">
        <f t="shared" si="11"/>
        <v>0</v>
      </c>
      <c r="J315" s="124" t="str">
        <v/>
      </c>
    </row>
    <row r="316" spans="9:10" x14ac:dyDescent="0.3">
      <c r="I316" s="124">
        <f t="shared" si="11"/>
        <v>0</v>
      </c>
      <c r="J316" s="124" t="str">
        <v/>
      </c>
    </row>
    <row r="317" spans="9:10" x14ac:dyDescent="0.3">
      <c r="I317" s="124">
        <f t="shared" si="11"/>
        <v>0</v>
      </c>
      <c r="J317" s="124" t="str">
        <v/>
      </c>
    </row>
    <row r="318" spans="9:10" x14ac:dyDescent="0.3">
      <c r="I318" s="124">
        <f t="shared" si="11"/>
        <v>0</v>
      </c>
      <c r="J318" s="124" t="str">
        <v/>
      </c>
    </row>
    <row r="319" spans="9:10" x14ac:dyDescent="0.3">
      <c r="I319" s="124">
        <f t="shared" si="11"/>
        <v>0</v>
      </c>
      <c r="J319" s="124" t="str">
        <v/>
      </c>
    </row>
    <row r="320" spans="9:10" x14ac:dyDescent="0.3">
      <c r="I320" s="124">
        <f t="shared" si="11"/>
        <v>0</v>
      </c>
      <c r="J320" s="124" t="str">
        <v/>
      </c>
    </row>
    <row r="321" spans="9:10" x14ac:dyDescent="0.3">
      <c r="I321" s="124">
        <f t="shared" si="11"/>
        <v>0</v>
      </c>
      <c r="J321" s="124" t="str">
        <v/>
      </c>
    </row>
    <row r="322" spans="9:10" x14ac:dyDescent="0.3">
      <c r="I322" s="124">
        <f t="shared" si="11"/>
        <v>0</v>
      </c>
      <c r="J322" s="124" t="str" cm="1">
        <f t="array" ref="J322:J341">TRANSPOSE(L43:AE43)</f>
        <v/>
      </c>
    </row>
    <row r="323" spans="9:10" x14ac:dyDescent="0.3">
      <c r="I323" s="124">
        <f t="shared" ref="I323:I386" si="12">IF(J323="",I322,I322+1)</f>
        <v>0</v>
      </c>
      <c r="J323" s="124" t="str">
        <v/>
      </c>
    </row>
    <row r="324" spans="9:10" x14ac:dyDescent="0.3">
      <c r="I324" s="124">
        <f t="shared" si="12"/>
        <v>0</v>
      </c>
      <c r="J324" s="124" t="str">
        <v/>
      </c>
    </row>
    <row r="325" spans="9:10" x14ac:dyDescent="0.3">
      <c r="I325" s="124">
        <f t="shared" si="12"/>
        <v>0</v>
      </c>
      <c r="J325" s="124" t="str">
        <v/>
      </c>
    </row>
    <row r="326" spans="9:10" x14ac:dyDescent="0.3">
      <c r="I326" s="124">
        <f t="shared" si="12"/>
        <v>0</v>
      </c>
      <c r="J326" s="124" t="str">
        <v/>
      </c>
    </row>
    <row r="327" spans="9:10" x14ac:dyDescent="0.3">
      <c r="I327" s="124">
        <f t="shared" si="12"/>
        <v>0</v>
      </c>
      <c r="J327" s="124" t="str">
        <v/>
      </c>
    </row>
    <row r="328" spans="9:10" x14ac:dyDescent="0.3">
      <c r="I328" s="124">
        <f t="shared" si="12"/>
        <v>0</v>
      </c>
      <c r="J328" s="124" t="str">
        <v/>
      </c>
    </row>
    <row r="329" spans="9:10" x14ac:dyDescent="0.3">
      <c r="I329" s="124">
        <f t="shared" si="12"/>
        <v>0</v>
      </c>
      <c r="J329" s="124" t="str">
        <v/>
      </c>
    </row>
    <row r="330" spans="9:10" x14ac:dyDescent="0.3">
      <c r="I330" s="124">
        <f t="shared" si="12"/>
        <v>0</v>
      </c>
      <c r="J330" s="124" t="str">
        <v/>
      </c>
    </row>
    <row r="331" spans="9:10" x14ac:dyDescent="0.3">
      <c r="I331" s="124">
        <f t="shared" si="12"/>
        <v>0</v>
      </c>
      <c r="J331" s="124" t="str">
        <v/>
      </c>
    </row>
    <row r="332" spans="9:10" x14ac:dyDescent="0.3">
      <c r="I332" s="124">
        <f t="shared" si="12"/>
        <v>0</v>
      </c>
      <c r="J332" s="124" t="str">
        <v/>
      </c>
    </row>
    <row r="333" spans="9:10" x14ac:dyDescent="0.3">
      <c r="I333" s="124">
        <f t="shared" si="12"/>
        <v>0</v>
      </c>
      <c r="J333" s="124" t="str">
        <v/>
      </c>
    </row>
    <row r="334" spans="9:10" x14ac:dyDescent="0.3">
      <c r="I334" s="124">
        <f t="shared" si="12"/>
        <v>0</v>
      </c>
      <c r="J334" s="124" t="str">
        <v/>
      </c>
    </row>
    <row r="335" spans="9:10" x14ac:dyDescent="0.3">
      <c r="I335" s="124">
        <f t="shared" si="12"/>
        <v>0</v>
      </c>
      <c r="J335" s="124" t="str">
        <v/>
      </c>
    </row>
    <row r="336" spans="9:10" x14ac:dyDescent="0.3">
      <c r="I336" s="124">
        <f t="shared" si="12"/>
        <v>0</v>
      </c>
      <c r="J336" s="124" t="str">
        <v/>
      </c>
    </row>
    <row r="337" spans="9:10" x14ac:dyDescent="0.3">
      <c r="I337" s="124">
        <f t="shared" si="12"/>
        <v>0</v>
      </c>
      <c r="J337" s="124" t="str">
        <v/>
      </c>
    </row>
    <row r="338" spans="9:10" x14ac:dyDescent="0.3">
      <c r="I338" s="124">
        <f t="shared" si="12"/>
        <v>0</v>
      </c>
      <c r="J338" s="124" t="str">
        <v/>
      </c>
    </row>
    <row r="339" spans="9:10" x14ac:dyDescent="0.3">
      <c r="I339" s="124">
        <f t="shared" si="12"/>
        <v>0</v>
      </c>
      <c r="J339" s="124" t="str">
        <v/>
      </c>
    </row>
    <row r="340" spans="9:10" x14ac:dyDescent="0.3">
      <c r="I340" s="124">
        <f t="shared" si="12"/>
        <v>0</v>
      </c>
      <c r="J340" s="124" t="str">
        <v/>
      </c>
    </row>
    <row r="341" spans="9:10" x14ac:dyDescent="0.3">
      <c r="I341" s="124">
        <f t="shared" si="12"/>
        <v>0</v>
      </c>
      <c r="J341" s="124" t="str">
        <v/>
      </c>
    </row>
    <row r="342" spans="9:10" x14ac:dyDescent="0.3">
      <c r="I342" s="124">
        <f t="shared" si="12"/>
        <v>0</v>
      </c>
      <c r="J342" s="124" t="str" cm="1">
        <f t="array" ref="J342:J361">TRANSPOSE(L44:AE44)</f>
        <v/>
      </c>
    </row>
    <row r="343" spans="9:10" x14ac:dyDescent="0.3">
      <c r="I343" s="124">
        <f t="shared" si="12"/>
        <v>0</v>
      </c>
      <c r="J343" s="124" t="str">
        <v/>
      </c>
    </row>
    <row r="344" spans="9:10" x14ac:dyDescent="0.3">
      <c r="I344" s="124">
        <f t="shared" si="12"/>
        <v>0</v>
      </c>
      <c r="J344" s="124" t="str">
        <v/>
      </c>
    </row>
    <row r="345" spans="9:10" x14ac:dyDescent="0.3">
      <c r="I345" s="124">
        <f t="shared" si="12"/>
        <v>0</v>
      </c>
      <c r="J345" s="124" t="str">
        <v/>
      </c>
    </row>
    <row r="346" spans="9:10" x14ac:dyDescent="0.3">
      <c r="I346" s="124">
        <f t="shared" si="12"/>
        <v>0</v>
      </c>
      <c r="J346" s="124" t="str">
        <v/>
      </c>
    </row>
    <row r="347" spans="9:10" x14ac:dyDescent="0.3">
      <c r="I347" s="124">
        <f t="shared" si="12"/>
        <v>0</v>
      </c>
      <c r="J347" s="124" t="str">
        <v/>
      </c>
    </row>
    <row r="348" spans="9:10" x14ac:dyDescent="0.3">
      <c r="I348" s="124">
        <f t="shared" si="12"/>
        <v>0</v>
      </c>
      <c r="J348" s="124" t="str">
        <v/>
      </c>
    </row>
    <row r="349" spans="9:10" x14ac:dyDescent="0.3">
      <c r="I349" s="124">
        <f t="shared" si="12"/>
        <v>0</v>
      </c>
      <c r="J349" s="124" t="str">
        <v/>
      </c>
    </row>
    <row r="350" spans="9:10" x14ac:dyDescent="0.3">
      <c r="I350" s="124">
        <f t="shared" si="12"/>
        <v>0</v>
      </c>
      <c r="J350" s="124" t="str">
        <v/>
      </c>
    </row>
    <row r="351" spans="9:10" x14ac:dyDescent="0.3">
      <c r="I351" s="124">
        <f t="shared" si="12"/>
        <v>0</v>
      </c>
      <c r="J351" s="124" t="str">
        <v/>
      </c>
    </row>
    <row r="352" spans="9:10" x14ac:dyDescent="0.3">
      <c r="I352" s="124">
        <f t="shared" si="12"/>
        <v>0</v>
      </c>
      <c r="J352" s="124" t="str">
        <v/>
      </c>
    </row>
    <row r="353" spans="9:10" x14ac:dyDescent="0.3">
      <c r="I353" s="124">
        <f t="shared" si="12"/>
        <v>0</v>
      </c>
      <c r="J353" s="124" t="str">
        <v/>
      </c>
    </row>
    <row r="354" spans="9:10" x14ac:dyDescent="0.3">
      <c r="I354" s="124">
        <f t="shared" si="12"/>
        <v>0</v>
      </c>
      <c r="J354" s="124" t="str">
        <v/>
      </c>
    </row>
    <row r="355" spans="9:10" x14ac:dyDescent="0.3">
      <c r="I355" s="124">
        <f t="shared" si="12"/>
        <v>0</v>
      </c>
      <c r="J355" s="124" t="str">
        <v/>
      </c>
    </row>
    <row r="356" spans="9:10" x14ac:dyDescent="0.3">
      <c r="I356" s="124">
        <f t="shared" si="12"/>
        <v>0</v>
      </c>
      <c r="J356" s="124" t="str">
        <v/>
      </c>
    </row>
    <row r="357" spans="9:10" x14ac:dyDescent="0.3">
      <c r="I357" s="124">
        <f t="shared" si="12"/>
        <v>0</v>
      </c>
      <c r="J357" s="124" t="str">
        <v/>
      </c>
    </row>
    <row r="358" spans="9:10" x14ac:dyDescent="0.3">
      <c r="I358" s="124">
        <f t="shared" si="12"/>
        <v>0</v>
      </c>
      <c r="J358" s="124" t="str">
        <v/>
      </c>
    </row>
    <row r="359" spans="9:10" x14ac:dyDescent="0.3">
      <c r="I359" s="124">
        <f t="shared" si="12"/>
        <v>0</v>
      </c>
      <c r="J359" s="124" t="str">
        <v/>
      </c>
    </row>
    <row r="360" spans="9:10" x14ac:dyDescent="0.3">
      <c r="I360" s="124">
        <f t="shared" si="12"/>
        <v>0</v>
      </c>
      <c r="J360" s="124" t="str">
        <v/>
      </c>
    </row>
    <row r="361" spans="9:10" x14ac:dyDescent="0.3">
      <c r="I361" s="124">
        <f t="shared" si="12"/>
        <v>0</v>
      </c>
      <c r="J361" s="124" t="str">
        <v/>
      </c>
    </row>
    <row r="362" spans="9:10" x14ac:dyDescent="0.3">
      <c r="I362" s="124">
        <f t="shared" si="12"/>
        <v>0</v>
      </c>
      <c r="J362" s="124" t="str" cm="1">
        <f t="array" ref="J362:J381">TRANSPOSE(L45:AE45)</f>
        <v/>
      </c>
    </row>
    <row r="363" spans="9:10" x14ac:dyDescent="0.3">
      <c r="I363" s="124">
        <f t="shared" si="12"/>
        <v>0</v>
      </c>
      <c r="J363" s="124" t="str">
        <v/>
      </c>
    </row>
    <row r="364" spans="9:10" x14ac:dyDescent="0.3">
      <c r="I364" s="124">
        <f t="shared" si="12"/>
        <v>0</v>
      </c>
      <c r="J364" s="124" t="str">
        <v/>
      </c>
    </row>
    <row r="365" spans="9:10" x14ac:dyDescent="0.3">
      <c r="I365" s="124">
        <f t="shared" si="12"/>
        <v>0</v>
      </c>
      <c r="J365" s="124" t="str">
        <v/>
      </c>
    </row>
    <row r="366" spans="9:10" x14ac:dyDescent="0.3">
      <c r="I366" s="124">
        <f t="shared" si="12"/>
        <v>0</v>
      </c>
      <c r="J366" s="124" t="str">
        <v/>
      </c>
    </row>
    <row r="367" spans="9:10" x14ac:dyDescent="0.3">
      <c r="I367" s="124">
        <f t="shared" si="12"/>
        <v>0</v>
      </c>
      <c r="J367" s="124" t="str">
        <v/>
      </c>
    </row>
    <row r="368" spans="9:10" x14ac:dyDescent="0.3">
      <c r="I368" s="124">
        <f t="shared" si="12"/>
        <v>0</v>
      </c>
      <c r="J368" s="124" t="str">
        <v/>
      </c>
    </row>
    <row r="369" spans="9:10" x14ac:dyDescent="0.3">
      <c r="I369" s="124">
        <f t="shared" si="12"/>
        <v>0</v>
      </c>
      <c r="J369" s="124" t="str">
        <v/>
      </c>
    </row>
    <row r="370" spans="9:10" x14ac:dyDescent="0.3">
      <c r="I370" s="124">
        <f t="shared" si="12"/>
        <v>0</v>
      </c>
      <c r="J370" s="124" t="str">
        <v/>
      </c>
    </row>
    <row r="371" spans="9:10" x14ac:dyDescent="0.3">
      <c r="I371" s="124">
        <f t="shared" si="12"/>
        <v>0</v>
      </c>
      <c r="J371" s="124" t="str">
        <v/>
      </c>
    </row>
    <row r="372" spans="9:10" x14ac:dyDescent="0.3">
      <c r="I372" s="124">
        <f t="shared" si="12"/>
        <v>0</v>
      </c>
      <c r="J372" s="124" t="str">
        <v/>
      </c>
    </row>
    <row r="373" spans="9:10" x14ac:dyDescent="0.3">
      <c r="I373" s="124">
        <f t="shared" si="12"/>
        <v>0</v>
      </c>
      <c r="J373" s="124" t="str">
        <v/>
      </c>
    </row>
    <row r="374" spans="9:10" x14ac:dyDescent="0.3">
      <c r="I374" s="124">
        <f t="shared" si="12"/>
        <v>0</v>
      </c>
      <c r="J374" s="124" t="str">
        <v/>
      </c>
    </row>
    <row r="375" spans="9:10" x14ac:dyDescent="0.3">
      <c r="I375" s="124">
        <f t="shared" si="12"/>
        <v>0</v>
      </c>
      <c r="J375" s="124" t="str">
        <v/>
      </c>
    </row>
    <row r="376" spans="9:10" x14ac:dyDescent="0.3">
      <c r="I376" s="124">
        <f t="shared" si="12"/>
        <v>0</v>
      </c>
      <c r="J376" s="124" t="str">
        <v/>
      </c>
    </row>
    <row r="377" spans="9:10" x14ac:dyDescent="0.3">
      <c r="I377" s="124">
        <f t="shared" si="12"/>
        <v>0</v>
      </c>
      <c r="J377" s="124" t="str">
        <v/>
      </c>
    </row>
    <row r="378" spans="9:10" x14ac:dyDescent="0.3">
      <c r="I378" s="124">
        <f t="shared" si="12"/>
        <v>0</v>
      </c>
      <c r="J378" s="124" t="str">
        <v/>
      </c>
    </row>
    <row r="379" spans="9:10" x14ac:dyDescent="0.3">
      <c r="I379" s="124">
        <f t="shared" si="12"/>
        <v>0</v>
      </c>
      <c r="J379" s="124" t="str">
        <v/>
      </c>
    </row>
    <row r="380" spans="9:10" x14ac:dyDescent="0.3">
      <c r="I380" s="124">
        <f t="shared" si="12"/>
        <v>0</v>
      </c>
      <c r="J380" s="124" t="str">
        <v/>
      </c>
    </row>
    <row r="381" spans="9:10" x14ac:dyDescent="0.3">
      <c r="I381" s="124">
        <f t="shared" si="12"/>
        <v>0</v>
      </c>
      <c r="J381" s="124" t="str">
        <v/>
      </c>
    </row>
    <row r="382" spans="9:10" x14ac:dyDescent="0.3">
      <c r="I382" s="124">
        <f t="shared" si="12"/>
        <v>0</v>
      </c>
      <c r="J382" s="124" t="str" cm="1">
        <f t="array" ref="J382:J401">TRANSPOSE(L46:AE46)</f>
        <v/>
      </c>
    </row>
    <row r="383" spans="9:10" x14ac:dyDescent="0.3">
      <c r="I383" s="124">
        <f t="shared" si="12"/>
        <v>0</v>
      </c>
      <c r="J383" s="124" t="str">
        <v/>
      </c>
    </row>
    <row r="384" spans="9:10" x14ac:dyDescent="0.3">
      <c r="I384" s="124">
        <f t="shared" si="12"/>
        <v>0</v>
      </c>
      <c r="J384" s="124" t="str">
        <v/>
      </c>
    </row>
    <row r="385" spans="9:10" x14ac:dyDescent="0.3">
      <c r="I385" s="124">
        <f t="shared" si="12"/>
        <v>0</v>
      </c>
      <c r="J385" s="124" t="str">
        <v/>
      </c>
    </row>
    <row r="386" spans="9:10" x14ac:dyDescent="0.3">
      <c r="I386" s="124">
        <f t="shared" si="12"/>
        <v>0</v>
      </c>
      <c r="J386" s="124" t="str">
        <v/>
      </c>
    </row>
    <row r="387" spans="9:10" x14ac:dyDescent="0.3">
      <c r="I387" s="124">
        <f t="shared" ref="I387:I450" si="13">IF(J387="",I386,I386+1)</f>
        <v>0</v>
      </c>
      <c r="J387" s="124" t="str">
        <v/>
      </c>
    </row>
    <row r="388" spans="9:10" x14ac:dyDescent="0.3">
      <c r="I388" s="124">
        <f t="shared" si="13"/>
        <v>0</v>
      </c>
      <c r="J388" s="124" t="str">
        <v/>
      </c>
    </row>
    <row r="389" spans="9:10" x14ac:dyDescent="0.3">
      <c r="I389" s="124">
        <f t="shared" si="13"/>
        <v>0</v>
      </c>
      <c r="J389" s="124" t="str">
        <v/>
      </c>
    </row>
    <row r="390" spans="9:10" x14ac:dyDescent="0.3">
      <c r="I390" s="124">
        <f t="shared" si="13"/>
        <v>0</v>
      </c>
      <c r="J390" s="124" t="str">
        <v/>
      </c>
    </row>
    <row r="391" spans="9:10" x14ac:dyDescent="0.3">
      <c r="I391" s="124">
        <f t="shared" si="13"/>
        <v>0</v>
      </c>
      <c r="J391" s="124" t="str">
        <v/>
      </c>
    </row>
    <row r="392" spans="9:10" x14ac:dyDescent="0.3">
      <c r="I392" s="124">
        <f t="shared" si="13"/>
        <v>0</v>
      </c>
      <c r="J392" s="124" t="str">
        <v/>
      </c>
    </row>
    <row r="393" spans="9:10" x14ac:dyDescent="0.3">
      <c r="I393" s="124">
        <f t="shared" si="13"/>
        <v>0</v>
      </c>
      <c r="J393" s="124" t="str">
        <v/>
      </c>
    </row>
    <row r="394" spans="9:10" x14ac:dyDescent="0.3">
      <c r="I394" s="124">
        <f t="shared" si="13"/>
        <v>0</v>
      </c>
      <c r="J394" s="124" t="str">
        <v/>
      </c>
    </row>
    <row r="395" spans="9:10" x14ac:dyDescent="0.3">
      <c r="I395" s="124">
        <f t="shared" si="13"/>
        <v>0</v>
      </c>
      <c r="J395" s="124" t="str">
        <v/>
      </c>
    </row>
    <row r="396" spans="9:10" x14ac:dyDescent="0.3">
      <c r="I396" s="124">
        <f t="shared" si="13"/>
        <v>0</v>
      </c>
      <c r="J396" s="124" t="str">
        <v/>
      </c>
    </row>
    <row r="397" spans="9:10" x14ac:dyDescent="0.3">
      <c r="I397" s="124">
        <f t="shared" si="13"/>
        <v>0</v>
      </c>
      <c r="J397" s="124" t="str">
        <v/>
      </c>
    </row>
    <row r="398" spans="9:10" x14ac:dyDescent="0.3">
      <c r="I398" s="124">
        <f t="shared" si="13"/>
        <v>0</v>
      </c>
      <c r="J398" s="124" t="str">
        <v/>
      </c>
    </row>
    <row r="399" spans="9:10" x14ac:dyDescent="0.3">
      <c r="I399" s="124">
        <f t="shared" si="13"/>
        <v>0</v>
      </c>
      <c r="J399" s="124" t="str">
        <v/>
      </c>
    </row>
    <row r="400" spans="9:10" x14ac:dyDescent="0.3">
      <c r="I400" s="124">
        <f t="shared" si="13"/>
        <v>0</v>
      </c>
      <c r="J400" s="124" t="str">
        <v/>
      </c>
    </row>
    <row r="401" spans="9:10" x14ac:dyDescent="0.3">
      <c r="I401" s="124">
        <f t="shared" si="13"/>
        <v>0</v>
      </c>
      <c r="J401" s="124" t="str">
        <v/>
      </c>
    </row>
    <row r="402" spans="9:10" x14ac:dyDescent="0.3">
      <c r="I402" s="124">
        <f t="shared" si="13"/>
        <v>0</v>
      </c>
      <c r="J402" s="124" t="str" cm="1">
        <f t="array" ref="J402:J421">TRANSPOSE(L47:AE47)</f>
        <v/>
      </c>
    </row>
    <row r="403" spans="9:10" x14ac:dyDescent="0.3">
      <c r="I403" s="124">
        <f t="shared" si="13"/>
        <v>0</v>
      </c>
      <c r="J403" s="124" t="str">
        <v/>
      </c>
    </row>
    <row r="404" spans="9:10" x14ac:dyDescent="0.3">
      <c r="I404" s="124">
        <f t="shared" si="13"/>
        <v>0</v>
      </c>
      <c r="J404" s="124" t="str">
        <v/>
      </c>
    </row>
    <row r="405" spans="9:10" x14ac:dyDescent="0.3">
      <c r="I405" s="124">
        <f t="shared" si="13"/>
        <v>0</v>
      </c>
      <c r="J405" s="124" t="str">
        <v/>
      </c>
    </row>
    <row r="406" spans="9:10" x14ac:dyDescent="0.3">
      <c r="I406" s="124">
        <f t="shared" si="13"/>
        <v>0</v>
      </c>
      <c r="J406" s="124" t="str">
        <v/>
      </c>
    </row>
    <row r="407" spans="9:10" x14ac:dyDescent="0.3">
      <c r="I407" s="124">
        <f t="shared" si="13"/>
        <v>0</v>
      </c>
      <c r="J407" s="124" t="str">
        <v/>
      </c>
    </row>
    <row r="408" spans="9:10" x14ac:dyDescent="0.3">
      <c r="I408" s="124">
        <f t="shared" si="13"/>
        <v>0</v>
      </c>
      <c r="J408" s="124" t="str">
        <v/>
      </c>
    </row>
    <row r="409" spans="9:10" x14ac:dyDescent="0.3">
      <c r="I409" s="124">
        <f t="shared" si="13"/>
        <v>0</v>
      </c>
      <c r="J409" s="124" t="str">
        <v/>
      </c>
    </row>
    <row r="410" spans="9:10" x14ac:dyDescent="0.3">
      <c r="I410" s="124">
        <f t="shared" si="13"/>
        <v>0</v>
      </c>
      <c r="J410" s="124" t="str">
        <v/>
      </c>
    </row>
    <row r="411" spans="9:10" x14ac:dyDescent="0.3">
      <c r="I411" s="124">
        <f t="shared" si="13"/>
        <v>0</v>
      </c>
      <c r="J411" s="124" t="str">
        <v/>
      </c>
    </row>
    <row r="412" spans="9:10" x14ac:dyDescent="0.3">
      <c r="I412" s="124">
        <f t="shared" si="13"/>
        <v>0</v>
      </c>
      <c r="J412" s="124" t="str">
        <v/>
      </c>
    </row>
    <row r="413" spans="9:10" x14ac:dyDescent="0.3">
      <c r="I413" s="124">
        <f t="shared" si="13"/>
        <v>0</v>
      </c>
      <c r="J413" s="124" t="str">
        <v/>
      </c>
    </row>
    <row r="414" spans="9:10" x14ac:dyDescent="0.3">
      <c r="I414" s="124">
        <f t="shared" si="13"/>
        <v>0</v>
      </c>
      <c r="J414" s="124" t="str">
        <v/>
      </c>
    </row>
    <row r="415" spans="9:10" x14ac:dyDescent="0.3">
      <c r="I415" s="124">
        <f t="shared" si="13"/>
        <v>0</v>
      </c>
      <c r="J415" s="124" t="str">
        <v/>
      </c>
    </row>
    <row r="416" spans="9:10" x14ac:dyDescent="0.3">
      <c r="I416" s="124">
        <f t="shared" si="13"/>
        <v>0</v>
      </c>
      <c r="J416" s="124" t="str">
        <v/>
      </c>
    </row>
    <row r="417" spans="9:10" x14ac:dyDescent="0.3">
      <c r="I417" s="124">
        <f t="shared" si="13"/>
        <v>0</v>
      </c>
      <c r="J417" s="124" t="str">
        <v/>
      </c>
    </row>
    <row r="418" spans="9:10" x14ac:dyDescent="0.3">
      <c r="I418" s="124">
        <f t="shared" si="13"/>
        <v>0</v>
      </c>
      <c r="J418" s="124" t="str">
        <v/>
      </c>
    </row>
    <row r="419" spans="9:10" x14ac:dyDescent="0.3">
      <c r="I419" s="124">
        <f t="shared" si="13"/>
        <v>0</v>
      </c>
      <c r="J419" s="124" t="str">
        <v/>
      </c>
    </row>
    <row r="420" spans="9:10" x14ac:dyDescent="0.3">
      <c r="I420" s="124">
        <f t="shared" si="13"/>
        <v>0</v>
      </c>
      <c r="J420" s="124" t="str">
        <v/>
      </c>
    </row>
    <row r="421" spans="9:10" x14ac:dyDescent="0.3">
      <c r="I421" s="124">
        <f t="shared" si="13"/>
        <v>0</v>
      </c>
      <c r="J421" s="124" t="str">
        <v/>
      </c>
    </row>
    <row r="422" spans="9:10" x14ac:dyDescent="0.3">
      <c r="I422" s="124">
        <f t="shared" si="13"/>
        <v>0</v>
      </c>
      <c r="J422" s="124" t="str" cm="1">
        <f t="array" ref="J422:J441">TRANSPOSE(L48:AE48)</f>
        <v/>
      </c>
    </row>
    <row r="423" spans="9:10" x14ac:dyDescent="0.3">
      <c r="I423" s="124">
        <f t="shared" si="13"/>
        <v>0</v>
      </c>
      <c r="J423" s="124" t="str">
        <v/>
      </c>
    </row>
    <row r="424" spans="9:10" x14ac:dyDescent="0.3">
      <c r="I424" s="124">
        <f t="shared" si="13"/>
        <v>0</v>
      </c>
      <c r="J424" s="124" t="str">
        <v/>
      </c>
    </row>
    <row r="425" spans="9:10" x14ac:dyDescent="0.3">
      <c r="I425" s="124">
        <f t="shared" si="13"/>
        <v>0</v>
      </c>
      <c r="J425" s="124" t="str">
        <v/>
      </c>
    </row>
    <row r="426" spans="9:10" x14ac:dyDescent="0.3">
      <c r="I426" s="124">
        <f t="shared" si="13"/>
        <v>0</v>
      </c>
      <c r="J426" s="124" t="str">
        <v/>
      </c>
    </row>
    <row r="427" spans="9:10" x14ac:dyDescent="0.3">
      <c r="I427" s="124">
        <f t="shared" si="13"/>
        <v>0</v>
      </c>
      <c r="J427" s="124" t="str">
        <v/>
      </c>
    </row>
    <row r="428" spans="9:10" x14ac:dyDescent="0.3">
      <c r="I428" s="124">
        <f t="shared" si="13"/>
        <v>0</v>
      </c>
      <c r="J428" s="124" t="str">
        <v/>
      </c>
    </row>
    <row r="429" spans="9:10" x14ac:dyDescent="0.3">
      <c r="I429" s="124">
        <f t="shared" si="13"/>
        <v>0</v>
      </c>
      <c r="J429" s="124" t="str">
        <v/>
      </c>
    </row>
    <row r="430" spans="9:10" x14ac:dyDescent="0.3">
      <c r="I430" s="124">
        <f t="shared" si="13"/>
        <v>0</v>
      </c>
      <c r="J430" s="124" t="str">
        <v/>
      </c>
    </row>
    <row r="431" spans="9:10" x14ac:dyDescent="0.3">
      <c r="I431" s="124">
        <f t="shared" si="13"/>
        <v>0</v>
      </c>
      <c r="J431" s="124" t="str">
        <v/>
      </c>
    </row>
    <row r="432" spans="9:10" x14ac:dyDescent="0.3">
      <c r="I432" s="124">
        <f t="shared" si="13"/>
        <v>0</v>
      </c>
      <c r="J432" s="124" t="str">
        <v/>
      </c>
    </row>
    <row r="433" spans="9:10" x14ac:dyDescent="0.3">
      <c r="I433" s="124">
        <f t="shared" si="13"/>
        <v>0</v>
      </c>
      <c r="J433" s="124" t="str">
        <v/>
      </c>
    </row>
    <row r="434" spans="9:10" x14ac:dyDescent="0.3">
      <c r="I434" s="124">
        <f t="shared" si="13"/>
        <v>0</v>
      </c>
      <c r="J434" s="124" t="str">
        <v/>
      </c>
    </row>
    <row r="435" spans="9:10" x14ac:dyDescent="0.3">
      <c r="I435" s="124">
        <f t="shared" si="13"/>
        <v>0</v>
      </c>
      <c r="J435" s="124" t="str">
        <v/>
      </c>
    </row>
    <row r="436" spans="9:10" x14ac:dyDescent="0.3">
      <c r="I436" s="124">
        <f t="shared" si="13"/>
        <v>0</v>
      </c>
      <c r="J436" s="124" t="str">
        <v/>
      </c>
    </row>
    <row r="437" spans="9:10" x14ac:dyDescent="0.3">
      <c r="I437" s="124">
        <f t="shared" si="13"/>
        <v>0</v>
      </c>
      <c r="J437" s="124" t="str">
        <v/>
      </c>
    </row>
    <row r="438" spans="9:10" x14ac:dyDescent="0.3">
      <c r="I438" s="124">
        <f t="shared" si="13"/>
        <v>0</v>
      </c>
      <c r="J438" s="124" t="str">
        <v/>
      </c>
    </row>
    <row r="439" spans="9:10" x14ac:dyDescent="0.3">
      <c r="I439" s="124">
        <f t="shared" si="13"/>
        <v>0</v>
      </c>
      <c r="J439" s="124" t="str">
        <v/>
      </c>
    </row>
    <row r="440" spans="9:10" x14ac:dyDescent="0.3">
      <c r="I440" s="124">
        <f t="shared" si="13"/>
        <v>0</v>
      </c>
      <c r="J440" s="124" t="str">
        <v/>
      </c>
    </row>
    <row r="441" spans="9:10" x14ac:dyDescent="0.3">
      <c r="I441" s="124">
        <f t="shared" si="13"/>
        <v>0</v>
      </c>
      <c r="J441" s="124" t="str">
        <v/>
      </c>
    </row>
    <row r="442" spans="9:10" x14ac:dyDescent="0.3">
      <c r="I442" s="124">
        <f t="shared" si="13"/>
        <v>0</v>
      </c>
      <c r="J442" s="124" t="str" cm="1">
        <f t="array" ref="J442:J461">TRANSPOSE(L49:AE49)</f>
        <v/>
      </c>
    </row>
    <row r="443" spans="9:10" x14ac:dyDescent="0.3">
      <c r="I443" s="124">
        <f t="shared" si="13"/>
        <v>0</v>
      </c>
      <c r="J443" s="124" t="str">
        <v/>
      </c>
    </row>
    <row r="444" spans="9:10" x14ac:dyDescent="0.3">
      <c r="I444" s="124">
        <f t="shared" si="13"/>
        <v>0</v>
      </c>
      <c r="J444" s="124" t="str">
        <v/>
      </c>
    </row>
    <row r="445" spans="9:10" x14ac:dyDescent="0.3">
      <c r="I445" s="124">
        <f t="shared" si="13"/>
        <v>0</v>
      </c>
      <c r="J445" s="124" t="str">
        <v/>
      </c>
    </row>
    <row r="446" spans="9:10" x14ac:dyDescent="0.3">
      <c r="I446" s="124">
        <f t="shared" si="13"/>
        <v>0</v>
      </c>
      <c r="J446" s="124" t="str">
        <v/>
      </c>
    </row>
    <row r="447" spans="9:10" x14ac:dyDescent="0.3">
      <c r="I447" s="124">
        <f t="shared" si="13"/>
        <v>0</v>
      </c>
      <c r="J447" s="124" t="str">
        <v/>
      </c>
    </row>
    <row r="448" spans="9:10" x14ac:dyDescent="0.3">
      <c r="I448" s="124">
        <f t="shared" si="13"/>
        <v>0</v>
      </c>
      <c r="J448" s="124" t="str">
        <v/>
      </c>
    </row>
    <row r="449" spans="9:10" x14ac:dyDescent="0.3">
      <c r="I449" s="124">
        <f t="shared" si="13"/>
        <v>0</v>
      </c>
      <c r="J449" s="124" t="str">
        <v/>
      </c>
    </row>
    <row r="450" spans="9:10" x14ac:dyDescent="0.3">
      <c r="I450" s="124">
        <f t="shared" si="13"/>
        <v>0</v>
      </c>
      <c r="J450" s="124" t="str">
        <v/>
      </c>
    </row>
    <row r="451" spans="9:10" x14ac:dyDescent="0.3">
      <c r="I451" s="124">
        <f t="shared" ref="I451:I461" si="14">IF(J451="",I450,I450+1)</f>
        <v>0</v>
      </c>
      <c r="J451" s="124" t="str">
        <v/>
      </c>
    </row>
    <row r="452" spans="9:10" x14ac:dyDescent="0.3">
      <c r="I452" s="124">
        <f t="shared" si="14"/>
        <v>0</v>
      </c>
      <c r="J452" s="124" t="str">
        <v/>
      </c>
    </row>
    <row r="453" spans="9:10" x14ac:dyDescent="0.3">
      <c r="I453" s="124">
        <f t="shared" si="14"/>
        <v>0</v>
      </c>
      <c r="J453" s="124" t="str">
        <v/>
      </c>
    </row>
    <row r="454" spans="9:10" x14ac:dyDescent="0.3">
      <c r="I454" s="124">
        <f t="shared" si="14"/>
        <v>0</v>
      </c>
      <c r="J454" s="124" t="str">
        <v/>
      </c>
    </row>
    <row r="455" spans="9:10" x14ac:dyDescent="0.3">
      <c r="I455" s="124">
        <f t="shared" si="14"/>
        <v>0</v>
      </c>
      <c r="J455" s="124" t="str">
        <v/>
      </c>
    </row>
    <row r="456" spans="9:10" x14ac:dyDescent="0.3">
      <c r="I456" s="124">
        <f t="shared" si="14"/>
        <v>0</v>
      </c>
      <c r="J456" s="124" t="str">
        <v/>
      </c>
    </row>
    <row r="457" spans="9:10" x14ac:dyDescent="0.3">
      <c r="I457" s="124">
        <f t="shared" si="14"/>
        <v>0</v>
      </c>
      <c r="J457" s="124" t="str">
        <v/>
      </c>
    </row>
    <row r="458" spans="9:10" x14ac:dyDescent="0.3">
      <c r="I458" s="124">
        <f t="shared" si="14"/>
        <v>0</v>
      </c>
      <c r="J458" s="124" t="str">
        <v/>
      </c>
    </row>
    <row r="459" spans="9:10" x14ac:dyDescent="0.3">
      <c r="I459" s="124">
        <f t="shared" si="14"/>
        <v>0</v>
      </c>
      <c r="J459" s="124" t="str">
        <v/>
      </c>
    </row>
    <row r="460" spans="9:10" x14ac:dyDescent="0.3">
      <c r="I460" s="124">
        <f t="shared" si="14"/>
        <v>0</v>
      </c>
      <c r="J460" s="124" t="str">
        <v/>
      </c>
    </row>
    <row r="461" spans="9:10" x14ac:dyDescent="0.3">
      <c r="I461" s="124">
        <f t="shared" si="14"/>
        <v>0</v>
      </c>
      <c r="J461" s="124" t="str">
        <v/>
      </c>
    </row>
  </sheetData>
  <sheetProtection algorithmName="SHA-512" hashValue="0AGvlva+UHQiWEX4nwuwTs/YE73wfdYP+V2VgNKofz8uY7rXiNDTZWm21TXppuWSbAzKDWIRk7f3KfKr2AKrcw==" saltValue="lpSb/kOhRnLv/nnPo9VBnQ==" spinCount="100000" sheet="1" selectLockedCells="1" selectUnlockedCells="1"/>
  <conditionalFormatting sqref="F44:H44 I49">
    <cfRule type="expression" priority="1">
      <formula>OR($K$49=$AW$1,$K$49=$AW$3)</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AQ</vt:lpstr>
      <vt:lpstr>CRM</vt:lpstr>
      <vt:lpstr>Life profile</vt:lpstr>
      <vt:lpstr>Tabbing</vt:lpstr>
      <vt:lpstr>DB</vt:lpstr>
      <vt:lpstr>AQ!Print_Area</vt:lpstr>
    </vt:vector>
  </TitlesOfParts>
  <Company>Tad-batt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Vitaly-M@tadiran-batt.com</dc:creator>
  <cp:lastModifiedBy>Vitaly Milner</cp:lastModifiedBy>
  <cp:lastPrinted>2025-01-23T05:52:20Z</cp:lastPrinted>
  <dcterms:created xsi:type="dcterms:W3CDTF">2021-01-26T08:25:06Z</dcterms:created>
  <dcterms:modified xsi:type="dcterms:W3CDTF">2025-12-22T05:19:23Z</dcterms:modified>
</cp:coreProperties>
</file>